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microsoft.com/office/2011/relationships/webextensiontaskpanes" Target="xl/webextensions/taskpanes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6" Type="http://schemas.openxmlformats.org/officeDocument/2006/relationships/custom-properties" Target="docProps/custom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fileSharing readOnlyRecommended="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nationalgasteam.sharepoint.com/sites/GRP-INT-UK-GT-FBP-GT-Reg-Finance/RIIO 3/02. Annual Iteration Process/01. 2026-27/03. April_2026_Submission/10. Ofgem files 13th May/GT3 PCFM Final/"/>
    </mc:Choice>
  </mc:AlternateContent>
  <xr:revisionPtr revIDLastSave="30" documentId="13_ncr:1_{ABC6C4DF-BCED-499C-A09F-278E3F9CAC75}" xr6:coauthVersionLast="47" xr6:coauthVersionMax="47" xr10:uidLastSave="{90EBB393-6EE3-4972-8C8E-C0F72C7EED24}"/>
  <bookViews>
    <workbookView xWindow="-105" yWindow="-16320" windowWidth="29040" windowHeight="15720" firstSheet="13" activeTab="20" xr2:uid="{9564DBD8-F460-404C-AF71-0EA6B43BA7AF}"/>
  </bookViews>
  <sheets>
    <sheet name="Cover" sheetId="30" r:id="rId1"/>
    <sheet name="Checks" sheetId="40" r:id="rId2"/>
    <sheet name="VariantAllowances" sheetId="35" r:id="rId3"/>
    <sheet name="Transform_TO" sheetId="15" r:id="rId4"/>
    <sheet name="Transform_SO" sheetId="25" r:id="rId5"/>
    <sheet name="Totex" sheetId="2" r:id="rId6"/>
    <sheet name="TIM" sheetId="4" r:id="rId7"/>
    <sheet name="Depreciation" sheetId="32" r:id="rId8"/>
    <sheet name="NonCore" sheetId="22" r:id="rId9"/>
    <sheet name="Return&amp;RAV" sheetId="8" r:id="rId10"/>
    <sheet name="TaxPools" sheetId="9" r:id="rId11"/>
    <sheet name="Finance" sheetId="13" r:id="rId12"/>
    <sheet name="Tax" sheetId="11" r:id="rId13"/>
    <sheet name="Calculations_SO" sheetId="27" r:id="rId14"/>
    <sheet name="ReturnAdj" sheetId="38" r:id="rId15"/>
    <sheet name="Revenue_TO" sheetId="12" r:id="rId16"/>
    <sheet name="Revenue_SO" sheetId="29" r:id="rId17"/>
    <sheet name="AllowedRevenue_TO" sheetId="33" r:id="rId18"/>
    <sheet name="AllowedRevenue_SO" sheetId="34" r:id="rId19"/>
    <sheet name="Inflation" sheetId="20" r:id="rId20"/>
    <sheet name="NGT_TO" sheetId="14" r:id="rId21"/>
    <sheet name="NGT_SO" sheetId="26" r:id="rId22"/>
  </sheets>
  <definedNames>
    <definedName name="________hom1" localSheetId="1" hidden="1">{#N/A,#N/A,FALSE,"Assessment";#N/A,#N/A,FALSE,"Staffing";#N/A,#N/A,FALSE,"Hires";#N/A,#N/A,FALSE,"Assumptions"}</definedName>
    <definedName name="________hom1" hidden="1">{#N/A,#N/A,FALSE,"Assessment";#N/A,#N/A,FALSE,"Staffing";#N/A,#N/A,FALSE,"Hires";#N/A,#N/A,FALSE,"Assumptions"}</definedName>
    <definedName name="________k1" localSheetId="1" hidden="1">{#N/A,#N/A,FALSE,"Assessment";#N/A,#N/A,FALSE,"Staffing";#N/A,#N/A,FALSE,"Hires";#N/A,#N/A,FALSE,"Assumptions"}</definedName>
    <definedName name="________k1" hidden="1">{#N/A,#N/A,FALSE,"Assessment";#N/A,#N/A,FALSE,"Staffing";#N/A,#N/A,FALSE,"Hires";#N/A,#N/A,FALSE,"Assumptions"}</definedName>
    <definedName name="________kk1" localSheetId="1" hidden="1">{#N/A,#N/A,FALSE,"Assessment";#N/A,#N/A,FALSE,"Staffing";#N/A,#N/A,FALSE,"Hires";#N/A,#N/A,FALSE,"Assumptions"}</definedName>
    <definedName name="________kk1" hidden="1">{#N/A,#N/A,FALSE,"Assessment";#N/A,#N/A,FALSE,"Staffing";#N/A,#N/A,FALSE,"Hires";#N/A,#N/A,FALSE,"Assumptions"}</definedName>
    <definedName name="________KKK1" localSheetId="1" hidden="1">{#N/A,#N/A,FALSE,"Assessment";#N/A,#N/A,FALSE,"Staffing";#N/A,#N/A,FALSE,"Hires";#N/A,#N/A,FALSE,"Assumptions"}</definedName>
    <definedName name="________KKK1" hidden="1">{#N/A,#N/A,FALSE,"Assessment";#N/A,#N/A,FALSE,"Staffing";#N/A,#N/A,FALSE,"Hires";#N/A,#N/A,FALSE,"Assumptions"}</definedName>
    <definedName name="________w2" localSheetId="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" localSheetId="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9" localSheetId="1" hidden="1">{"holdco",#N/A,FALSE,"Summary Financials";"holdco",#N/A,FALSE,"Summary Financials"}</definedName>
    <definedName name="________wr9" hidden="1">{"holdco",#N/A,FALSE,"Summary Financials";"holdco",#N/A,FALSE,"Summary Financials"}</definedName>
    <definedName name="________wrn1" localSheetId="1" hidden="1">{"holdco",#N/A,FALSE,"Summary Financials";"holdco",#N/A,FALSE,"Summary Financials"}</definedName>
    <definedName name="________wrn1" hidden="1">{"holdco",#N/A,FALSE,"Summary Financials";"holdco",#N/A,FALSE,"Summary Financials"}</definedName>
    <definedName name="________wrn2" localSheetId="1" hidden="1">{"holdco",#N/A,FALSE,"Summary Financials";"holdco",#N/A,FALSE,"Summary Financials"}</definedName>
    <definedName name="________wrn2" hidden="1">{"holdco",#N/A,FALSE,"Summary Financials";"holdco",#N/A,FALSE,"Summary Financials"}</definedName>
    <definedName name="________wrn3" localSheetId="1" hidden="1">{"holdco",#N/A,FALSE,"Summary Financials";"holdco",#N/A,FALSE,"Summary Financials"}</definedName>
    <definedName name="________wrn3" hidden="1">{"holdco",#N/A,FALSE,"Summary Financials";"holdco",#N/A,FALSE,"Summary Financials"}</definedName>
    <definedName name="________wrn7" localSheetId="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8" localSheetId="1" hidden="1">{"holdco",#N/A,FALSE,"Summary Financials";"holdco",#N/A,FALSE,"Summary Financials"}</definedName>
    <definedName name="________wrn8" hidden="1">{"holdco",#N/A,FALSE,"Summary Financials";"holdco",#N/A,FALSE,"Summary Financials"}</definedName>
    <definedName name="_______bb2" localSheetId="1" hidden="1">{#N/A,#N/A,FALSE,"PRJCTED MNTHLY QTY's"}</definedName>
    <definedName name="_______bb2" hidden="1">{#N/A,#N/A,FALSE,"PRJCTED MNTHLY QTY's"}</definedName>
    <definedName name="_______Lee5" localSheetId="1" hidden="1">{#VALUE!,#N/A,FALSE,0}</definedName>
    <definedName name="_______Lee5" hidden="1">{#VALUE!,#N/A,FALSE,0}</definedName>
    <definedName name="______hom1" localSheetId="1" hidden="1">{#N/A,#N/A,FALSE,"Assessment";#N/A,#N/A,FALSE,"Staffing";#N/A,#N/A,FALSE,"Hires";#N/A,#N/A,FALSE,"Assumptions"}</definedName>
    <definedName name="______hom1" hidden="1">{#N/A,#N/A,FALSE,"Assessment";#N/A,#N/A,FALSE,"Staffing";#N/A,#N/A,FALSE,"Hires";#N/A,#N/A,FALSE,"Assumptions"}</definedName>
    <definedName name="______k1" localSheetId="1" hidden="1">{#N/A,#N/A,FALSE,"Assessment";#N/A,#N/A,FALSE,"Staffing";#N/A,#N/A,FALSE,"Hires";#N/A,#N/A,FALSE,"Assumptions"}</definedName>
    <definedName name="______k1" hidden="1">{#N/A,#N/A,FALSE,"Assessment";#N/A,#N/A,FALSE,"Staffing";#N/A,#N/A,FALSE,"Hires";#N/A,#N/A,FALSE,"Assumptions"}</definedName>
    <definedName name="______kk1" localSheetId="1" hidden="1">{#N/A,#N/A,FALSE,"Assessment";#N/A,#N/A,FALSE,"Staffing";#N/A,#N/A,FALSE,"Hires";#N/A,#N/A,FALSE,"Assumptions"}</definedName>
    <definedName name="______kk1" hidden="1">{#N/A,#N/A,FALSE,"Assessment";#N/A,#N/A,FALSE,"Staffing";#N/A,#N/A,FALSE,"Hires";#N/A,#N/A,FALSE,"Assumptions"}</definedName>
    <definedName name="______KKK1" localSheetId="1" hidden="1">{#N/A,#N/A,FALSE,"Assessment";#N/A,#N/A,FALSE,"Staffing";#N/A,#N/A,FALSE,"Hires";#N/A,#N/A,FALSE,"Assumptions"}</definedName>
    <definedName name="______KKK1" hidden="1">{#N/A,#N/A,FALSE,"Assessment";#N/A,#N/A,FALSE,"Staffing";#N/A,#N/A,FALSE,"Hires";#N/A,#N/A,FALSE,"Assumptions"}</definedName>
    <definedName name="______w2" localSheetId="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" localSheetId="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9" localSheetId="1" hidden="1">{"holdco",#N/A,FALSE,"Summary Financials";"holdco",#N/A,FALSE,"Summary Financials"}</definedName>
    <definedName name="______wr9" hidden="1">{"holdco",#N/A,FALSE,"Summary Financials";"holdco",#N/A,FALSE,"Summary Financials"}</definedName>
    <definedName name="______wrn1" localSheetId="1" hidden="1">{"holdco",#N/A,FALSE,"Summary Financials";"holdco",#N/A,FALSE,"Summary Financials"}</definedName>
    <definedName name="______wrn1" hidden="1">{"holdco",#N/A,FALSE,"Summary Financials";"holdco",#N/A,FALSE,"Summary Financials"}</definedName>
    <definedName name="______wrn2" localSheetId="1" hidden="1">{"holdco",#N/A,FALSE,"Summary Financials";"holdco",#N/A,FALSE,"Summary Financials"}</definedName>
    <definedName name="______wrn2" hidden="1">{"holdco",#N/A,FALSE,"Summary Financials";"holdco",#N/A,FALSE,"Summary Financials"}</definedName>
    <definedName name="______wrn3" localSheetId="1" hidden="1">{"holdco",#N/A,FALSE,"Summary Financials";"holdco",#N/A,FALSE,"Summary Financials"}</definedName>
    <definedName name="______wrn3" hidden="1">{"holdco",#N/A,FALSE,"Summary Financials";"holdco",#N/A,FALSE,"Summary Financials"}</definedName>
    <definedName name="______wrn7" localSheetId="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8" localSheetId="1" hidden="1">{"holdco",#N/A,FALSE,"Summary Financials";"holdco",#N/A,FALSE,"Summary Financials"}</definedName>
    <definedName name="______wrn8" hidden="1">{"holdco",#N/A,FALSE,"Summary Financials";"holdco",#N/A,FALSE,"Summary Financials"}</definedName>
    <definedName name="_____KKK1" localSheetId="1" hidden="1">{#N/A,#N/A,FALSE,"Assessment";#N/A,#N/A,FALSE,"Staffing";#N/A,#N/A,FALSE,"Hires";#N/A,#N/A,FALSE,"Assumptions"}</definedName>
    <definedName name="_____KKK1" hidden="1">{#N/A,#N/A,FALSE,"Assessment";#N/A,#N/A,FALSE,"Staffing";#N/A,#N/A,FALSE,"Hires";#N/A,#N/A,FALSE,"Assumptions"}</definedName>
    <definedName name="_____wrn1" localSheetId="1" hidden="1">{"holdco",#N/A,FALSE,"Summary Financials";"holdco",#N/A,FALSE,"Summary Financials"}</definedName>
    <definedName name="_____wrn1" hidden="1">{"holdco",#N/A,FALSE,"Summary Financials";"holdco",#N/A,FALSE,"Summary Financials"}</definedName>
    <definedName name="_____wrn2" localSheetId="1" hidden="1">{"holdco",#N/A,FALSE,"Summary Financials";"holdco",#N/A,FALSE,"Summary Financials"}</definedName>
    <definedName name="_____wrn2" hidden="1">{"holdco",#N/A,FALSE,"Summary Financials";"holdco",#N/A,FALSE,"Summary Financials"}</definedName>
    <definedName name="_____wrn3" localSheetId="1" hidden="1">{"holdco",#N/A,FALSE,"Summary Financials";"holdco",#N/A,FALSE,"Summary Financials"}</definedName>
    <definedName name="_____wrn3" hidden="1">{"holdco",#N/A,FALSE,"Summary Financials";"holdco",#N/A,FALSE,"Summary Financials"}</definedName>
    <definedName name="_____wrn7" localSheetId="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8" localSheetId="1" hidden="1">{"holdco",#N/A,FALSE,"Summary Financials";"holdco",#N/A,FALSE,"Summary Financials"}</definedName>
    <definedName name="_____wrn8" hidden="1">{"holdco",#N/A,FALSE,"Summary Financials";"holdco",#N/A,FALSE,"Summary Financials"}</definedName>
    <definedName name="__123Graph_B" hidden="1">#REF!</definedName>
    <definedName name="__123Graph_C" hidden="1">#REF!</definedName>
    <definedName name="__123Graph_D" hidden="1">#REF!</definedName>
    <definedName name="__123Graph_X" hidden="1">#REF!</definedName>
    <definedName name="__FDS_HYPERLINK_TOGGLE_STATE__" hidden="1">"ON"</definedName>
    <definedName name="__hom1" localSheetId="1" hidden="1">{#N/A,#N/A,FALSE,"Assessment";#N/A,#N/A,FALSE,"Staffing";#N/A,#N/A,FALSE,"Hires";#N/A,#N/A,FALSE,"Assumptions"}</definedName>
    <definedName name="__hom1" hidden="1">{#N/A,#N/A,FALSE,"Assessment";#N/A,#N/A,FALSE,"Staffing";#N/A,#N/A,FALSE,"Hires";#N/A,#N/A,FALSE,"Assumptions"}</definedName>
    <definedName name="__IntlFixup" hidden="1">TRUE</definedName>
    <definedName name="__kk1" localSheetId="1" hidden="1">{#N/A,#N/A,FALSE,"Assessment";#N/A,#N/A,FALSE,"Staffing";#N/A,#N/A,FALSE,"Hires";#N/A,#N/A,FALSE,"Assumptions"}</definedName>
    <definedName name="__kk1" hidden="1">{#N/A,#N/A,FALSE,"Assessment";#N/A,#N/A,FALSE,"Staffing";#N/A,#N/A,FALSE,"Hires";#N/A,#N/A,FALSE,"Assumptions"}</definedName>
    <definedName name="__KKK1" localSheetId="1" hidden="1">{#N/A,#N/A,FALSE,"Assessment";#N/A,#N/A,FALSE,"Staffing";#N/A,#N/A,FALSE,"Hires";#N/A,#N/A,FALSE,"Assumptions"}</definedName>
    <definedName name="__KKK1" hidden="1">{#N/A,#N/A,FALSE,"Assessment";#N/A,#N/A,FALSE,"Staffing";#N/A,#N/A,FALSE,"Hires";#N/A,#N/A,FALSE,"Assumptions"}</definedName>
    <definedName name="__wrn1" localSheetId="1" hidden="1">{"holdco",#N/A,FALSE,"Summary Financials";"holdco",#N/A,FALSE,"Summary Financials"}</definedName>
    <definedName name="__wrn1" hidden="1">{"holdco",#N/A,FALSE,"Summary Financials";"holdco",#N/A,FALSE,"Summary Financials"}</definedName>
    <definedName name="__wrn2" localSheetId="1" hidden="1">{"holdco",#N/A,FALSE,"Summary Financials";"holdco",#N/A,FALSE,"Summary Financials"}</definedName>
    <definedName name="__wrn2" hidden="1">{"holdco",#N/A,FALSE,"Summary Financials";"holdco",#N/A,FALSE,"Summary Financials"}</definedName>
    <definedName name="__wrn3" localSheetId="1" hidden="1">{"holdco",#N/A,FALSE,"Summary Financials";"holdco",#N/A,FALSE,"Summary Financials"}</definedName>
    <definedName name="__wrn3" hidden="1">{"holdco",#N/A,FALSE,"Summary Financials";"holdco",#N/A,FALSE,"Summary Financials"}</definedName>
    <definedName name="__wrn7" localSheetId="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8" localSheetId="1" hidden="1">{"holdco",#N/A,FALSE,"Summary Financials";"holdco",#N/A,FALSE,"Summary Financials"}</definedName>
    <definedName name="__wrn8" hidden="1">{"holdco",#N/A,FALSE,"Summary Financials";"holdco",#N/A,FALSE,"Summary Financials"}</definedName>
    <definedName name="_139__123Graph_LBL_DCHART_3" hidden="1">#REF!</definedName>
    <definedName name="_142__123Graph_LBL_FCHART_1" hidden="1">#REF!</definedName>
    <definedName name="_143__123Graph_LBL_FCHART_3" hidden="1">#REF!</definedName>
    <definedName name="_2026">NGT_TO!$K$592:$AY$592</definedName>
    <definedName name="_33__123Graph_LBL_ECHART_3" hidden="1">#REF!</definedName>
    <definedName name="_34__123Graph_LBL_FCHART_1" hidden="1">#REF!</definedName>
    <definedName name="_35__123Graph_LBL_FCHART_3" hidden="1">#REF!</definedName>
    <definedName name="_49__123Graph_LBL_FCHART_1" hidden="1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example" hidden="1">#REF!</definedName>
    <definedName name="_Fill" hidden="1">#REF!</definedName>
    <definedName name="_Key1" hidden="1">#REF!</definedName>
    <definedName name="_Key2" hidden="1">#REF!</definedName>
    <definedName name="_Order1" hidden="1">255</definedName>
    <definedName name="_Order2" hidden="1">0</definedName>
    <definedName name="_Sort" hidden="1">#REF!</definedName>
    <definedName name="a" localSheetId="1" hidden="1">{"staff",#N/A,FALSE,"Current Month"}</definedName>
    <definedName name="a" hidden="1">{"staff",#N/A,FALSE,"Current Month"}</definedName>
    <definedName name="AAA_duser" hidden="1">"OFF"</definedName>
    <definedName name="AAB_GSPPG" hidden="1">"AAB_Goldman Sachs PPG Chart Utilities 1.0g"</definedName>
    <definedName name="AccessDatabase" hidden="1">"C:\DATA\KEVIN\MODELS\Model 0218.mdb"</definedName>
    <definedName name="ACwvu.CapersView." hidden="1">#REF!</definedName>
    <definedName name="ACwvu.Japan_Capers_Ed_Pub." hidden="1">#REF!</definedName>
    <definedName name="ACwvu.KJP_CC." hidden="1">#REF!</definedName>
    <definedName name="asdas" localSheetId="1" hidden="1">{#N/A,#N/A,FALSE,"TMCOMP96";#N/A,#N/A,FALSE,"MAT96";#N/A,#N/A,FALSE,"FANDA96";#N/A,#N/A,FALSE,"INTRAN96";#N/A,#N/A,FALSE,"NAA9697";#N/A,#N/A,FALSE,"ECWEBB";#N/A,#N/A,FALSE,"MFT96";#N/A,#N/A,FALSE,"CTrecon"}</definedName>
    <definedName name="asdas" hidden="1">{#N/A,#N/A,FALSE,"TMCOMP96";#N/A,#N/A,FALSE,"MAT96";#N/A,#N/A,FALSE,"FANDA96";#N/A,#N/A,FALSE,"INTRAN96";#N/A,#N/A,FALSE,"NAA9697";#N/A,#N/A,FALSE,"ECWEBB";#N/A,#N/A,FALSE,"MFT96";#N/A,#N/A,FALSE,"CTrecon"}</definedName>
    <definedName name="b" localSheetId="1" hidden="1">{"staff",#N/A,FALSE,"Current Month"}</definedName>
    <definedName name="b" hidden="1">{"staff",#N/A,FALSE,"Current Month"}</definedName>
    <definedName name="BaseYear">NGT_TO!$I$586</definedName>
    <definedName name="bb" localSheetId="1" hidden="1">{#N/A,#N/A,FALSE,"PRJCTED MNTHLY QTY's"}</definedName>
    <definedName name="bb" hidden="1">{#N/A,#N/A,FALSE,"PRJCTED MNTHLY QTY's"}</definedName>
    <definedName name="bbbb" localSheetId="1" hidden="1">{#N/A,#N/A,FALSE,"PRJCTED QTRLY QTY's"}</definedName>
    <definedName name="bbbb" hidden="1">{#N/A,#N/A,FALSE,"PRJCTED QTRLY QTY's"}</definedName>
    <definedName name="bbbbbb" localSheetId="1" hidden="1">{#N/A,#N/A,FALSE,"PRJCTED QTRLY QTY's"}</definedName>
    <definedName name="bbbbbb" hidden="1">{#N/A,#N/A,FALSE,"PRJCTED QTRLY QTY's"}</definedName>
    <definedName name="BExEZ4HBCC06708765M8A06KCR7P" hidden="1">#N/A</definedName>
    <definedName name="BLPH1" hidden="1">#REF!</definedName>
    <definedName name="BLPH10" hidden="1">#REF!</definedName>
    <definedName name="BLPH100" hidden="1">#REF!</definedName>
    <definedName name="BLPH101" hidden="1">#REF!</definedName>
    <definedName name="BLPH102" hidden="1">#REF!</definedName>
    <definedName name="BLPH103" hidden="1">#REF!</definedName>
    <definedName name="BLPH104" hidden="1">#REF!</definedName>
    <definedName name="BLPH105" hidden="1">#REF!</definedName>
    <definedName name="BLPH106" hidden="1">#REF!</definedName>
    <definedName name="BLPH107" hidden="1">#REF!</definedName>
    <definedName name="BLPH108" hidden="1">#REF!</definedName>
    <definedName name="BLPH109" hidden="1">#REF!</definedName>
    <definedName name="BLPH11" hidden="1">#REF!</definedName>
    <definedName name="BLPH110" hidden="1">#REF!</definedName>
    <definedName name="BLPH111" hidden="1">#REF!</definedName>
    <definedName name="BLPH112" hidden="1">#REF!</definedName>
    <definedName name="BLPH113" hidden="1">#REF!</definedName>
    <definedName name="BLPH114" hidden="1">#REF!</definedName>
    <definedName name="BLPH115" hidden="1">#REF!</definedName>
    <definedName name="BLPH116" hidden="1">#REF!</definedName>
    <definedName name="BLPH117" hidden="1">#REF!</definedName>
    <definedName name="BLPH118" hidden="1">#REF!</definedName>
    <definedName name="BLPH119" hidden="1">#REF!</definedName>
    <definedName name="BLPH12" hidden="1">#REF!</definedName>
    <definedName name="BLPH120" hidden="1">#REF!</definedName>
    <definedName name="BLPH121" hidden="1">#REF!</definedName>
    <definedName name="BLPH122" hidden="1">#REF!</definedName>
    <definedName name="BLPH123" hidden="1">#REF!</definedName>
    <definedName name="BLPH124" hidden="1">#REF!</definedName>
    <definedName name="BLPH125" hidden="1">#REF!</definedName>
    <definedName name="BLPH126" hidden="1">#REF!</definedName>
    <definedName name="BLPH127" hidden="1">#REF!</definedName>
    <definedName name="BLPH128" hidden="1">#REF!</definedName>
    <definedName name="BLPH129" hidden="1">#REF!</definedName>
    <definedName name="BLPH13" hidden="1">#REF!</definedName>
    <definedName name="BLPH130" hidden="1">#REF!</definedName>
    <definedName name="BLPH131" hidden="1">#REF!</definedName>
    <definedName name="BLPH132" hidden="1">#REF!</definedName>
    <definedName name="BLPH133" hidden="1">#REF!</definedName>
    <definedName name="BLPH134" hidden="1">#REF!</definedName>
    <definedName name="BLPH135" hidden="1">#REF!</definedName>
    <definedName name="BLPH136" hidden="1">#REF!</definedName>
    <definedName name="BLPH137" hidden="1">#REF!</definedName>
    <definedName name="BLPH138" hidden="1">#REF!</definedName>
    <definedName name="BLPH139" hidden="1">#REF!</definedName>
    <definedName name="BLPH14" hidden="1">#REF!</definedName>
    <definedName name="BLPH140" hidden="1">#REF!</definedName>
    <definedName name="BLPH141" hidden="1">#REF!</definedName>
    <definedName name="BLPH142" hidden="1">#REF!</definedName>
    <definedName name="BLPH143" hidden="1">#REF!</definedName>
    <definedName name="BLPH144" hidden="1">#REF!</definedName>
    <definedName name="BLPH145" hidden="1">#REF!</definedName>
    <definedName name="BLPH146" hidden="1">#REF!</definedName>
    <definedName name="BLPH147" hidden="1">#REF!</definedName>
    <definedName name="BLPH148" hidden="1">#REF!</definedName>
    <definedName name="BLPH149" hidden="1">#REF!</definedName>
    <definedName name="BLPH15" hidden="1">#REF!</definedName>
    <definedName name="BLPH150" hidden="1">#REF!</definedName>
    <definedName name="BLPH151" hidden="1">#REF!</definedName>
    <definedName name="BLPH152" hidden="1">#REF!</definedName>
    <definedName name="BLPH153" hidden="1">#REF!</definedName>
    <definedName name="BLPH154" hidden="1">#REF!</definedName>
    <definedName name="BLPH155" hidden="1">#REF!</definedName>
    <definedName name="BLPH156" hidden="1">#REF!</definedName>
    <definedName name="BLPH157" hidden="1">#REF!</definedName>
    <definedName name="BLPH158" hidden="1">#REF!</definedName>
    <definedName name="BLPH159" hidden="1">#REF!</definedName>
    <definedName name="BLPH16" hidden="1">#REF!</definedName>
    <definedName name="BLPH160" hidden="1">#REF!</definedName>
    <definedName name="BLPH161" hidden="1">#REF!</definedName>
    <definedName name="BLPH162" hidden="1">#REF!</definedName>
    <definedName name="BLPH163" hidden="1">#REF!</definedName>
    <definedName name="BLPH164" hidden="1">#REF!</definedName>
    <definedName name="BLPH165" hidden="1">#REF!</definedName>
    <definedName name="BLPH166" hidden="1">#REF!</definedName>
    <definedName name="BLPH167" hidden="1">#REF!</definedName>
    <definedName name="BLPH168" hidden="1">#REF!</definedName>
    <definedName name="BLPH169" hidden="1">#REF!</definedName>
    <definedName name="BLPH17" hidden="1">#REF!</definedName>
    <definedName name="BLPH170" hidden="1">#REF!</definedName>
    <definedName name="BLPH171" hidden="1">#REF!</definedName>
    <definedName name="BLPH172" hidden="1">#REF!</definedName>
    <definedName name="BLPH173" hidden="1">#REF!</definedName>
    <definedName name="BLPH174" hidden="1">#REF!</definedName>
    <definedName name="BLPH175" hidden="1">#REF!</definedName>
    <definedName name="BLPH176" hidden="1">#REF!</definedName>
    <definedName name="BLPH177" hidden="1">#REF!</definedName>
    <definedName name="BLPH178" hidden="1">#REF!</definedName>
    <definedName name="BLPH179" hidden="1">#REF!</definedName>
    <definedName name="BLPH18" hidden="1">#REF!</definedName>
    <definedName name="BLPH180" hidden="1">#REF!</definedName>
    <definedName name="BLPH181" hidden="1">#REF!</definedName>
    <definedName name="BLPH182" hidden="1">#REF!</definedName>
    <definedName name="BLPH183" hidden="1">#REF!</definedName>
    <definedName name="BLPH184" hidden="1">#REF!</definedName>
    <definedName name="BLPH185" hidden="1">#REF!</definedName>
    <definedName name="BLPH186" hidden="1">#REF!</definedName>
    <definedName name="BLPH187" hidden="1">#REF!</definedName>
    <definedName name="BLPH188" hidden="1">#REF!</definedName>
    <definedName name="BLPH189" hidden="1">#REF!</definedName>
    <definedName name="BLPH19" hidden="1">#REF!</definedName>
    <definedName name="BLPH190" hidden="1">#REF!</definedName>
    <definedName name="BLPH191" hidden="1">#REF!</definedName>
    <definedName name="BLPH192" hidden="1">#REF!</definedName>
    <definedName name="BLPH193" hidden="1">#REF!</definedName>
    <definedName name="BLPH194" hidden="1">#REF!</definedName>
    <definedName name="BLPH195" hidden="1">#REF!</definedName>
    <definedName name="BLPH196" hidden="1">#REF!</definedName>
    <definedName name="BLPH197" hidden="1">#REF!</definedName>
    <definedName name="BLPH198" hidden="1">#REF!</definedName>
    <definedName name="BLPH199" hidden="1">#REF!</definedName>
    <definedName name="BLPH2" hidden="1">#REF!</definedName>
    <definedName name="BLPH20" hidden="1">#REF!</definedName>
    <definedName name="BLPH200" hidden="1">#REF!</definedName>
    <definedName name="BLPH201" hidden="1">#REF!</definedName>
    <definedName name="BLPH202" hidden="1">#REF!</definedName>
    <definedName name="BLPH203" hidden="1">#REF!</definedName>
    <definedName name="BLPH204" hidden="1">#REF!</definedName>
    <definedName name="BLPH205" hidden="1">#REF!</definedName>
    <definedName name="BLPH206" hidden="1">#REF!</definedName>
    <definedName name="BLPH207" hidden="1">#REF!</definedName>
    <definedName name="BLPH208" hidden="1">#REF!</definedName>
    <definedName name="BLPH209" hidden="1">#REF!</definedName>
    <definedName name="BLPH21" hidden="1">#REF!</definedName>
    <definedName name="BLPH210" hidden="1">#REF!</definedName>
    <definedName name="BLPH211" hidden="1">#REF!</definedName>
    <definedName name="BLPH212" hidden="1">#REF!</definedName>
    <definedName name="BLPH213" hidden="1">#REF!</definedName>
    <definedName name="BLPH214" hidden="1">#REF!</definedName>
    <definedName name="BLPH215" hidden="1">#REF!</definedName>
    <definedName name="BLPH216" hidden="1">#REF!</definedName>
    <definedName name="BLPH217" hidden="1">#REF!</definedName>
    <definedName name="BLPH218" hidden="1">#REF!</definedName>
    <definedName name="BLPH219" hidden="1">#REF!</definedName>
    <definedName name="BLPH22" hidden="1">#REF!</definedName>
    <definedName name="BLPH220" hidden="1">#REF!</definedName>
    <definedName name="BLPH221" hidden="1">#REF!</definedName>
    <definedName name="BLPH222" hidden="1">#REF!</definedName>
    <definedName name="BLPH223" hidden="1">#REF!</definedName>
    <definedName name="BLPH224" hidden="1">#REF!</definedName>
    <definedName name="BLPH225" hidden="1">#REF!</definedName>
    <definedName name="BLPH226" hidden="1">#REF!</definedName>
    <definedName name="BLPH227" hidden="1">#REF!</definedName>
    <definedName name="BLPH228" hidden="1">#REF!</definedName>
    <definedName name="BLPH229" hidden="1">#REF!</definedName>
    <definedName name="BLPH23" hidden="1">#REF!</definedName>
    <definedName name="BLPH230" hidden="1">#REF!</definedName>
    <definedName name="BLPH231" hidden="1">#REF!</definedName>
    <definedName name="BLPH232" hidden="1">#REF!</definedName>
    <definedName name="BLPH233" hidden="1">#REF!</definedName>
    <definedName name="BLPH234" hidden="1">#REF!</definedName>
    <definedName name="BLPH235" hidden="1">#REF!</definedName>
    <definedName name="BLPH236" hidden="1">#REF!</definedName>
    <definedName name="BLPH237" hidden="1">#REF!</definedName>
    <definedName name="BLPH238" hidden="1">#REF!</definedName>
    <definedName name="BLPH239" hidden="1">#REF!</definedName>
    <definedName name="BLPH24" hidden="1">#REF!</definedName>
    <definedName name="BLPH240" hidden="1">#REF!</definedName>
    <definedName name="BLPH241" hidden="1">#REF!</definedName>
    <definedName name="BLPH242" hidden="1">#REF!</definedName>
    <definedName name="BLPH243" hidden="1">#REF!</definedName>
    <definedName name="BLPH244" hidden="1">#REF!</definedName>
    <definedName name="BLPH245" hidden="1">#REF!</definedName>
    <definedName name="BLPH246" hidden="1">#REF!</definedName>
    <definedName name="BLPH247" hidden="1">#REF!</definedName>
    <definedName name="BLPH248" hidden="1">#REF!</definedName>
    <definedName name="BLPH249" hidden="1">#REF!</definedName>
    <definedName name="BLPH25" hidden="1">#REF!</definedName>
    <definedName name="BLPH250" hidden="1">#REF!</definedName>
    <definedName name="BLPH251" hidden="1">#REF!</definedName>
    <definedName name="BLPH252" hidden="1">#REF!</definedName>
    <definedName name="BLPH253" hidden="1">#REF!</definedName>
    <definedName name="BLPH254" hidden="1">#REF!</definedName>
    <definedName name="BLPH255" hidden="1">#REF!</definedName>
    <definedName name="BLPH256" hidden="1">#REF!</definedName>
    <definedName name="BLPH257" hidden="1">#REF!</definedName>
    <definedName name="BLPH258" hidden="1">#REF!</definedName>
    <definedName name="BLPH259" hidden="1">#REF!</definedName>
    <definedName name="BLPH26" hidden="1">#REF!</definedName>
    <definedName name="BLPH260" hidden="1">#REF!</definedName>
    <definedName name="BLPH261" hidden="1">#REF!</definedName>
    <definedName name="BLPH262" hidden="1">#REF!</definedName>
    <definedName name="BLPH263" hidden="1">#REF!</definedName>
    <definedName name="BLPH264" hidden="1">#REF!</definedName>
    <definedName name="BLPH265" hidden="1">#REF!</definedName>
    <definedName name="BLPH266" hidden="1">#REF!</definedName>
    <definedName name="BLPH267" hidden="1">#REF!</definedName>
    <definedName name="BLPH268" hidden="1">#REF!</definedName>
    <definedName name="BLPH269" hidden="1">#REF!</definedName>
    <definedName name="BLPH27" hidden="1">#REF!</definedName>
    <definedName name="BLPH270" hidden="1">#REF!</definedName>
    <definedName name="BLPH271" hidden="1">#REF!</definedName>
    <definedName name="BLPH272" hidden="1">#REF!</definedName>
    <definedName name="BLPH273" hidden="1">#REF!</definedName>
    <definedName name="BLPH274" hidden="1">#REF!</definedName>
    <definedName name="BLPH275" hidden="1">#REF!</definedName>
    <definedName name="BLPH276" hidden="1">#REF!</definedName>
    <definedName name="BLPH277" hidden="1">#REF!</definedName>
    <definedName name="BLPH278" hidden="1">#REF!</definedName>
    <definedName name="BLPH279" hidden="1">#REF!</definedName>
    <definedName name="BLPH28" hidden="1">#REF!</definedName>
    <definedName name="BLPH280" hidden="1">#REF!</definedName>
    <definedName name="BLPH281" hidden="1">#REF!</definedName>
    <definedName name="BLPH282" hidden="1">#REF!</definedName>
    <definedName name="BLPH283" hidden="1">#REF!</definedName>
    <definedName name="BLPH284" hidden="1">#REF!</definedName>
    <definedName name="BLPH285" hidden="1">#REF!</definedName>
    <definedName name="BLPH286" hidden="1">#REF!</definedName>
    <definedName name="BLPH287" hidden="1">#REF!</definedName>
    <definedName name="BLPH288" hidden="1">#REF!</definedName>
    <definedName name="BLPH289" hidden="1">#REF!</definedName>
    <definedName name="BLPH29" hidden="1">#REF!</definedName>
    <definedName name="BLPH290" hidden="1">#REF!</definedName>
    <definedName name="BLPH291" hidden="1">#REF!</definedName>
    <definedName name="BLPH292" hidden="1">#REF!</definedName>
    <definedName name="BLPH293" hidden="1">#REF!</definedName>
    <definedName name="BLPH294" hidden="1">#REF!</definedName>
    <definedName name="BLPH295" hidden="1">#REF!</definedName>
    <definedName name="BLPH296" hidden="1">#REF!</definedName>
    <definedName name="BLPH297" hidden="1">#REF!</definedName>
    <definedName name="BLPH298" hidden="1">#REF!</definedName>
    <definedName name="BLPH299" hidden="1">#REF!</definedName>
    <definedName name="BLPH3" hidden="1">#REF!</definedName>
    <definedName name="BLPH30" hidden="1">#REF!</definedName>
    <definedName name="BLPH300" hidden="1">#REF!</definedName>
    <definedName name="BLPH301" hidden="1">#REF!</definedName>
    <definedName name="BLPH302" hidden="1">#REF!</definedName>
    <definedName name="BLPH303" hidden="1">#REF!</definedName>
    <definedName name="BLPH304" hidden="1">#REF!</definedName>
    <definedName name="BLPH305" hidden="1">#REF!</definedName>
    <definedName name="BLPH306" hidden="1">#REF!</definedName>
    <definedName name="BLPH307" hidden="1">#REF!</definedName>
    <definedName name="BLPH308" hidden="1">#REF!</definedName>
    <definedName name="BLPH309" hidden="1">#REF!</definedName>
    <definedName name="BLPH31" hidden="1">#REF!</definedName>
    <definedName name="BLPH310" hidden="1">#REF!</definedName>
    <definedName name="BLPH311" hidden="1">#REF!</definedName>
    <definedName name="BLPH312" hidden="1">#REF!</definedName>
    <definedName name="BLPH313" hidden="1">#REF!</definedName>
    <definedName name="BLPH314" hidden="1">#REF!</definedName>
    <definedName name="BLPH315" hidden="1">#REF!</definedName>
    <definedName name="BLPH316" hidden="1">#REF!</definedName>
    <definedName name="BLPH317" hidden="1">#REF!</definedName>
    <definedName name="BLPH318" hidden="1">#REF!</definedName>
    <definedName name="BLPH319" hidden="1">#REF!</definedName>
    <definedName name="BLPH32" hidden="1">#REF!</definedName>
    <definedName name="BLPH320" hidden="1">#REF!</definedName>
    <definedName name="BLPH321" hidden="1">#REF!</definedName>
    <definedName name="BLPH322" hidden="1">#REF!</definedName>
    <definedName name="BLPH323" hidden="1">#REF!</definedName>
    <definedName name="BLPH324" hidden="1">#REF!</definedName>
    <definedName name="BLPH325" hidden="1">#REF!</definedName>
    <definedName name="BLPH326" hidden="1">#REF!</definedName>
    <definedName name="BLPH327" hidden="1">#REF!</definedName>
    <definedName name="BLPH328" hidden="1">#REF!</definedName>
    <definedName name="BLPH329" hidden="1">#REF!</definedName>
    <definedName name="BLPH33" hidden="1">#REF!</definedName>
    <definedName name="BLPH330" hidden="1">#REF!</definedName>
    <definedName name="BLPH331" hidden="1">#REF!</definedName>
    <definedName name="BLPH332" hidden="1">#REF!</definedName>
    <definedName name="BLPH333" hidden="1">#REF!</definedName>
    <definedName name="BLPH334" hidden="1">#REF!</definedName>
    <definedName name="BLPH335" hidden="1">#REF!</definedName>
    <definedName name="BLPH336" hidden="1">#REF!</definedName>
    <definedName name="BLPH337" hidden="1">#REF!</definedName>
    <definedName name="BLPH338" hidden="1">#REF!</definedName>
    <definedName name="BLPH339" hidden="1">#REF!</definedName>
    <definedName name="BLPH34" hidden="1">#REF!</definedName>
    <definedName name="BLPH340" hidden="1">#REF!</definedName>
    <definedName name="BLPH341" hidden="1">#REF!</definedName>
    <definedName name="BLPH342" hidden="1">#REF!</definedName>
    <definedName name="BLPH343" hidden="1">#REF!</definedName>
    <definedName name="BLPH344" hidden="1">#REF!</definedName>
    <definedName name="BLPH345" hidden="1">#REF!</definedName>
    <definedName name="BLPH346" hidden="1">#REF!</definedName>
    <definedName name="BLPH347" hidden="1">#REF!</definedName>
    <definedName name="BLPH348" hidden="1">#REF!</definedName>
    <definedName name="BLPH349" hidden="1">#REF!</definedName>
    <definedName name="BLPH35" hidden="1">#REF!</definedName>
    <definedName name="BLPH350" hidden="1">#REF!</definedName>
    <definedName name="BLPH351" hidden="1">#REF!</definedName>
    <definedName name="BLPH352" hidden="1">#REF!</definedName>
    <definedName name="BLPH353" hidden="1">#REF!</definedName>
    <definedName name="BLPH354" hidden="1">#REF!</definedName>
    <definedName name="BLPH355" hidden="1">#REF!</definedName>
    <definedName name="BLPH356" hidden="1">#REF!</definedName>
    <definedName name="BLPH357" hidden="1">#REF!</definedName>
    <definedName name="BLPH358" hidden="1">#REF!</definedName>
    <definedName name="BLPH359" hidden="1">#REF!</definedName>
    <definedName name="BLPH36" hidden="1">#REF!</definedName>
    <definedName name="BLPH37" hidden="1">#REF!</definedName>
    <definedName name="BLPH38" hidden="1">#REF!</definedName>
    <definedName name="BLPH39" hidden="1">#REF!</definedName>
    <definedName name="BLPH4" hidden="1">#REF!</definedName>
    <definedName name="BLPH40" hidden="1">#REF!</definedName>
    <definedName name="BLPH41" hidden="1">#REF!</definedName>
    <definedName name="BLPH42" hidden="1">#REF!</definedName>
    <definedName name="BLPH43" hidden="1">#REF!</definedName>
    <definedName name="BLPH44" hidden="1">#REF!</definedName>
    <definedName name="BLPH45" hidden="1">#REF!</definedName>
    <definedName name="BLPH46" hidden="1">#REF!</definedName>
    <definedName name="BLPH47" hidden="1">#REF!</definedName>
    <definedName name="BLPH48" hidden="1">#REF!</definedName>
    <definedName name="BLPH49" hidden="1">#REF!</definedName>
    <definedName name="BLPH5" hidden="1">#REF!</definedName>
    <definedName name="BLPH50" hidden="1">#REF!</definedName>
    <definedName name="BLPH51" hidden="1">#REF!</definedName>
    <definedName name="BLPH52" hidden="1">#REF!</definedName>
    <definedName name="BLPH53" hidden="1">#REF!</definedName>
    <definedName name="BLPH54" hidden="1">#REF!</definedName>
    <definedName name="BLPH55" hidden="1">#REF!</definedName>
    <definedName name="BLPH56" hidden="1">#REF!</definedName>
    <definedName name="BLPH57" hidden="1">#REF!</definedName>
    <definedName name="BLPH58" hidden="1">#REF!</definedName>
    <definedName name="BLPH59" hidden="1">#REF!</definedName>
    <definedName name="BLPH6" hidden="1">#REF!</definedName>
    <definedName name="BLPH60" hidden="1">#REF!</definedName>
    <definedName name="BLPH61" hidden="1">#REF!</definedName>
    <definedName name="BLPH62" hidden="1">#REF!</definedName>
    <definedName name="BLPH63" hidden="1">#REF!</definedName>
    <definedName name="BLPH64" hidden="1">#REF!</definedName>
    <definedName name="BLPH65" hidden="1">#REF!</definedName>
    <definedName name="BLPH66" hidden="1">#REF!</definedName>
    <definedName name="BLPH67" hidden="1">#REF!</definedName>
    <definedName name="BLPH68" hidden="1">#REF!</definedName>
    <definedName name="BLPH69" hidden="1">#REF!</definedName>
    <definedName name="BLPH7" hidden="1">#REF!</definedName>
    <definedName name="BLPH70" hidden="1">#REF!</definedName>
    <definedName name="BLPH71" hidden="1">#REF!</definedName>
    <definedName name="BLPH72" hidden="1">#REF!</definedName>
    <definedName name="BLPH73" hidden="1">#REF!</definedName>
    <definedName name="BLPH74" hidden="1">#REF!</definedName>
    <definedName name="BLPH75" hidden="1">#REF!</definedName>
    <definedName name="BLPH76" hidden="1">#REF!</definedName>
    <definedName name="BLPH77" hidden="1">#REF!</definedName>
    <definedName name="BLPH78" hidden="1">#REF!</definedName>
    <definedName name="BLPH79" hidden="1">#REF!</definedName>
    <definedName name="BLPH8" hidden="1">#REF!</definedName>
    <definedName name="BLPH80" hidden="1">#REF!</definedName>
    <definedName name="BLPH81" hidden="1">#REF!</definedName>
    <definedName name="BLPH82" hidden="1">#REF!</definedName>
    <definedName name="BLPH83" hidden="1">#REF!</definedName>
    <definedName name="BLPH84" hidden="1">#REF!</definedName>
    <definedName name="BLPH85" hidden="1">#REF!</definedName>
    <definedName name="BLPH86" hidden="1">#REF!</definedName>
    <definedName name="BLPH87" hidden="1">#REF!</definedName>
    <definedName name="BLPH88" hidden="1">#REF!</definedName>
    <definedName name="BLPH89" hidden="1">#REF!</definedName>
    <definedName name="BLPH9" hidden="1">#REF!</definedName>
    <definedName name="BLPH90" hidden="1">#REF!</definedName>
    <definedName name="BLPH91" hidden="1">#REF!</definedName>
    <definedName name="BLPH92" hidden="1">#REF!</definedName>
    <definedName name="BLPH93" hidden="1">#REF!</definedName>
    <definedName name="BLPH94" hidden="1">#REF!</definedName>
    <definedName name="BLPH95" hidden="1">#REF!</definedName>
    <definedName name="BLPH96" hidden="1">#REF!</definedName>
    <definedName name="BLPH97" hidden="1">#REF!</definedName>
    <definedName name="BLPH98" hidden="1">#REF!</definedName>
    <definedName name="BLPH99" hidden="1">#REF!</definedName>
    <definedName name="BLPR1020040129204514642" hidden="1">#REF!</definedName>
    <definedName name="BLPR1020040129204514642_1_5" hidden="1">#REF!</definedName>
    <definedName name="BLPR1020040129204514642_2_5" hidden="1">#REF!</definedName>
    <definedName name="BLPR1020040129204514642_3_5" hidden="1">#REF!</definedName>
    <definedName name="BLPR1020040129204514642_4_5" hidden="1">#REF!</definedName>
    <definedName name="BLPR1020040129204514642_5_5" hidden="1">#REF!</definedName>
    <definedName name="BLPR1120040129204514642" hidden="1">#REF!</definedName>
    <definedName name="BLPR1120040129204514642_1_5" hidden="1">#REF!</definedName>
    <definedName name="BLPR1120040129204514642_2_5" hidden="1">#REF!</definedName>
    <definedName name="BLPR1120040129204514642_3_5" hidden="1">#REF!</definedName>
    <definedName name="BLPR1120040129204514642_4_5" hidden="1">#REF!</definedName>
    <definedName name="BLPR1120040129204514642_5_5" hidden="1">#REF!</definedName>
    <definedName name="BLPR120040129203645421" hidden="1">#REF!</definedName>
    <definedName name="BLPR120040129203645421_1_4" hidden="1">#REF!</definedName>
    <definedName name="BLPR120040129203645421_2_4" hidden="1">#REF!</definedName>
    <definedName name="BLPR120040129203645421_3_4" hidden="1">#REF!</definedName>
    <definedName name="BLPR120040129203645421_4_4" hidden="1">#REF!</definedName>
    <definedName name="BLPR1220040129204514642" hidden="1">#REF!</definedName>
    <definedName name="BLPR1220040129204514642_1_5" hidden="1">#REF!</definedName>
    <definedName name="BLPR1220040129204514642_2_5" hidden="1">#REF!</definedName>
    <definedName name="BLPR1220040129204514642_3_5" hidden="1">#REF!</definedName>
    <definedName name="BLPR1220040129204514642_4_5" hidden="1">#REF!</definedName>
    <definedName name="BLPR1220040129204514642_5_5" hidden="1">#REF!</definedName>
    <definedName name="BLPR1320040129204514642" hidden="1">#REF!</definedName>
    <definedName name="BLPR1320040129204514642_1_5" hidden="1">#REF!</definedName>
    <definedName name="BLPR1320040129204514642_2_5" hidden="1">#REF!</definedName>
    <definedName name="BLPR1320040129204514642_3_5" hidden="1">#REF!</definedName>
    <definedName name="BLPR1320040129204514642_4_5" hidden="1">#REF!</definedName>
    <definedName name="BLPR1320040129204514642_5_5" hidden="1">#REF!</definedName>
    <definedName name="BLPR1420040129204514642" hidden="1">#REF!</definedName>
    <definedName name="BLPR1420040129204514642_1_5" hidden="1">#REF!</definedName>
    <definedName name="BLPR1420040129204514642_2_5" hidden="1">#REF!</definedName>
    <definedName name="BLPR1420040129204514642_3_5" hidden="1">#REF!</definedName>
    <definedName name="BLPR1420040129204514642_4_5" hidden="1">#REF!</definedName>
    <definedName name="BLPR1420040129204514642_5_5" hidden="1">#REF!</definedName>
    <definedName name="BLPR1520040129204514652" hidden="1">#REF!</definedName>
    <definedName name="BLPR1520040129204514652_1_5" hidden="1">#REF!</definedName>
    <definedName name="BLPR1520040129204514652_2_5" hidden="1">#REF!</definedName>
    <definedName name="BLPR1520040129204514652_3_5" hidden="1">#REF!</definedName>
    <definedName name="BLPR1520040129204514652_4_5" hidden="1">#REF!</definedName>
    <definedName name="BLPR1520040129204514652_5_5" hidden="1">#REF!</definedName>
    <definedName name="BLPR1620040129204514652" hidden="1">#REF!</definedName>
    <definedName name="BLPR1620040129204514652_1_5" hidden="1">#REF!</definedName>
    <definedName name="BLPR1620040129204514652_2_5" hidden="1">#REF!</definedName>
    <definedName name="BLPR1620040129204514652_3_5" hidden="1">#REF!</definedName>
    <definedName name="BLPR1620040129204514652_4_5" hidden="1">#REF!</definedName>
    <definedName name="BLPR1620040129204514652_5_5" hidden="1">#REF!</definedName>
    <definedName name="BLPR1720040129204514652" hidden="1">#REF!</definedName>
    <definedName name="BLPR1720040129204514652_1_5" hidden="1">#REF!</definedName>
    <definedName name="BLPR1720040129204514652_2_5" hidden="1">#REF!</definedName>
    <definedName name="BLPR1720040129204514652_3_5" hidden="1">#REF!</definedName>
    <definedName name="BLPR1720040129204514652_4_5" hidden="1">#REF!</definedName>
    <definedName name="BLPR1720040129204514652_5_5" hidden="1">#REF!</definedName>
    <definedName name="BLPR1820040129204514652" hidden="1">#REF!</definedName>
    <definedName name="BLPR1820040129204514652_1_5" hidden="1">#REF!</definedName>
    <definedName name="BLPR1820040129204514652_2_5" hidden="1">#REF!</definedName>
    <definedName name="BLPR1820040129204514652_3_5" hidden="1">#REF!</definedName>
    <definedName name="BLPR1820040129204514652_4_5" hidden="1">#REF!</definedName>
    <definedName name="BLPR1820040129204514652_5_5" hidden="1">#REF!</definedName>
    <definedName name="BLPR1920040129204514652" hidden="1">#REF!</definedName>
    <definedName name="BLPR1920040129204514652_1_5" hidden="1">#REF!</definedName>
    <definedName name="BLPR1920040129204514652_2_5" hidden="1">#REF!</definedName>
    <definedName name="BLPR1920040129204514652_3_5" hidden="1">#REF!</definedName>
    <definedName name="BLPR1920040129204514652_4_5" hidden="1">#REF!</definedName>
    <definedName name="BLPR1920040129204514652_5_5" hidden="1">#REF!</definedName>
    <definedName name="BLPR2020040129204514652" hidden="1">#REF!</definedName>
    <definedName name="BLPR2020040129204514652_1_5" hidden="1">#REF!</definedName>
    <definedName name="BLPR2020040129204514652_2_5" hidden="1">#REF!</definedName>
    <definedName name="BLPR2020040129204514652_3_5" hidden="1">#REF!</definedName>
    <definedName name="BLPR2020040129204514652_4_5" hidden="1">#REF!</definedName>
    <definedName name="BLPR2020040129204514652_5_5" hidden="1">#REF!</definedName>
    <definedName name="BLPR2120040129204514652" hidden="1">#REF!</definedName>
    <definedName name="BLPR2120040129204514652_1_5" hidden="1">#REF!</definedName>
    <definedName name="BLPR2120040129204514652_2_5" hidden="1">#REF!</definedName>
    <definedName name="BLPR2120040129204514652_3_5" hidden="1">#REF!</definedName>
    <definedName name="BLPR2120040129204514652_4_5" hidden="1">#REF!</definedName>
    <definedName name="BLPR2120040129204514652_5_5" hidden="1">#REF!</definedName>
    <definedName name="BLPR220040129203645421" hidden="1">#REF!</definedName>
    <definedName name="BLPR220040129203645421_1_4" hidden="1">#REF!</definedName>
    <definedName name="BLPR220040129203645421_2_4" hidden="1">#REF!</definedName>
    <definedName name="BLPR220040129203645421_3_4" hidden="1">#REF!</definedName>
    <definedName name="BLPR220040129203645421_4_4" hidden="1">#REF!</definedName>
    <definedName name="BLPR2220040129204514652" hidden="1">#REF!</definedName>
    <definedName name="BLPR2220040129204514652_1_5" hidden="1">#REF!</definedName>
    <definedName name="BLPR2220040129204514652_2_5" hidden="1">#REF!</definedName>
    <definedName name="BLPR2220040129204514652_3_5" hidden="1">#REF!</definedName>
    <definedName name="BLPR2220040129204514652_4_5" hidden="1">#REF!</definedName>
    <definedName name="BLPR2220040129204514652_5_5" hidden="1">#REF!</definedName>
    <definedName name="BLPR2320040129204514662" hidden="1">#REF!</definedName>
    <definedName name="BLPR2320040129204514662_1_5" hidden="1">#REF!</definedName>
    <definedName name="BLPR2320040129204514662_2_5" hidden="1">#REF!</definedName>
    <definedName name="BLPR2320040129204514662_3_5" hidden="1">#REF!</definedName>
    <definedName name="BLPR2320040129204514662_4_5" hidden="1">#REF!</definedName>
    <definedName name="BLPR2320040129204514662_5_5" hidden="1">#REF!</definedName>
    <definedName name="BLPR2420040129204514662" hidden="1">#REF!</definedName>
    <definedName name="BLPR2420040129204514662_1_5" hidden="1">#REF!</definedName>
    <definedName name="BLPR2420040129204514662_2_5" hidden="1">#REF!</definedName>
    <definedName name="BLPR2420040129204514662_3_5" hidden="1">#REF!</definedName>
    <definedName name="BLPR2420040129204514662_4_5" hidden="1">#REF!</definedName>
    <definedName name="BLPR2420040129204514662_5_5" hidden="1">#REF!</definedName>
    <definedName name="BLPR2520040129204514662" hidden="1">#REF!</definedName>
    <definedName name="BLPR2520040129204514662_1_5" hidden="1">#REF!</definedName>
    <definedName name="BLPR2520040129204514662_2_5" hidden="1">#REF!</definedName>
    <definedName name="BLPR2520040129204514662_3_5" hidden="1">#REF!</definedName>
    <definedName name="BLPR2520040129204514662_4_5" hidden="1">#REF!</definedName>
    <definedName name="BLPR2520040129204514662_5_5" hidden="1">#REF!</definedName>
    <definedName name="BLPR2620040129204514662" hidden="1">#REF!</definedName>
    <definedName name="BLPR2620040129204514662_1_5" hidden="1">#REF!</definedName>
    <definedName name="BLPR2620040129204514662_2_5" hidden="1">#REF!</definedName>
    <definedName name="BLPR2620040129204514662_3_5" hidden="1">#REF!</definedName>
    <definedName name="BLPR2620040129204514662_4_5" hidden="1">#REF!</definedName>
    <definedName name="BLPR2620040129204514662_5_5" hidden="1">#REF!</definedName>
    <definedName name="BLPR2720040129204514662" hidden="1">#REF!</definedName>
    <definedName name="BLPR2720040129204514662_1_5" hidden="1">#REF!</definedName>
    <definedName name="BLPR2720040129204514662_2_5" hidden="1">#REF!</definedName>
    <definedName name="BLPR2720040129204514662_3_5" hidden="1">#REF!</definedName>
    <definedName name="BLPR2720040129204514662_4_5" hidden="1">#REF!</definedName>
    <definedName name="BLPR2720040129204514662_5_5" hidden="1">#REF!</definedName>
    <definedName name="BLPR2820040129204514662" hidden="1">#REF!</definedName>
    <definedName name="BLPR2820040129204514662_1_5" hidden="1">#REF!</definedName>
    <definedName name="BLPR2820040129204514662_2_5" hidden="1">#REF!</definedName>
    <definedName name="BLPR2820040129204514662_3_5" hidden="1">#REF!</definedName>
    <definedName name="BLPR2820040129204514662_4_5" hidden="1">#REF!</definedName>
    <definedName name="BLPR2820040129204514662_5_5" hidden="1">#REF!</definedName>
    <definedName name="BLPR2920040129204514662" hidden="1">#REF!</definedName>
    <definedName name="BLPR2920040129204514662_1_5" hidden="1">#REF!</definedName>
    <definedName name="BLPR2920040129204514662_2_5" hidden="1">#REF!</definedName>
    <definedName name="BLPR2920040129204514662_3_5" hidden="1">#REF!</definedName>
    <definedName name="BLPR2920040129204514662_4_5" hidden="1">#REF!</definedName>
    <definedName name="BLPR2920040129204514662_5_5" hidden="1">#REF!</definedName>
    <definedName name="BLPR3020040129204514672" hidden="1">#REF!</definedName>
    <definedName name="BLPR3020040129204514672_1_5" hidden="1">#REF!</definedName>
    <definedName name="BLPR3020040129204514672_2_5" hidden="1">#REF!</definedName>
    <definedName name="BLPR3020040129204514672_3_5" hidden="1">#REF!</definedName>
    <definedName name="BLPR3020040129204514672_4_5" hidden="1">#REF!</definedName>
    <definedName name="BLPR3020040129204514672_5_5" hidden="1">#REF!</definedName>
    <definedName name="BLPR3120040129204514692" hidden="1">#REF!</definedName>
    <definedName name="BLPR3120040129204514692_1_1" hidden="1">#REF!</definedName>
    <definedName name="BLPR320040129203645431" hidden="1">#REF!</definedName>
    <definedName name="BLPR320040129203645431_1_4" hidden="1">#REF!</definedName>
    <definedName name="BLPR320040129203645431_2_4" hidden="1">#REF!</definedName>
    <definedName name="BLPR320040129203645431_3_4" hidden="1">#REF!</definedName>
    <definedName name="BLPR320040129203645431_4_4" hidden="1">#REF!</definedName>
    <definedName name="BLPR3220040129204514692" hidden="1">#REF!</definedName>
    <definedName name="BLPR3220040129204514692_1_1" hidden="1">#REF!</definedName>
    <definedName name="BLPR3320040129204514702" hidden="1">#REF!</definedName>
    <definedName name="BLPR3320040129204514702_1_1" hidden="1">#REF!</definedName>
    <definedName name="BLPR3420040129204514702" hidden="1">#REF!</definedName>
    <definedName name="BLPR3420040129204514702_1_1" hidden="1">#REF!</definedName>
    <definedName name="BLPR3520040129204514702" hidden="1">#REF!</definedName>
    <definedName name="BLPR3520040129204514702_1_1" hidden="1">#REF!</definedName>
    <definedName name="BLPR420040129203645431" hidden="1">#REF!</definedName>
    <definedName name="BLPR420040129203645431_1_4" hidden="1">#REF!</definedName>
    <definedName name="BLPR420040129203645431_2_4" hidden="1">#REF!</definedName>
    <definedName name="BLPR420040129203645431_3_4" hidden="1">#REF!</definedName>
    <definedName name="BLPR420040129203645431_4_4" hidden="1">#REF!</definedName>
    <definedName name="BLPR520040129203645441" hidden="1">#REF!</definedName>
    <definedName name="BLPR520040129203645441_1_4" hidden="1">#REF!</definedName>
    <definedName name="BLPR520040129203645441_2_4" hidden="1">#REF!</definedName>
    <definedName name="BLPR520040129203645441_3_4" hidden="1">#REF!</definedName>
    <definedName name="BLPR520040129203645441_4_4" hidden="1">#REF!</definedName>
    <definedName name="BLPR620040129204149993" hidden="1">#REF!</definedName>
    <definedName name="BLPR620040129204149993_1_5" hidden="1">#REF!</definedName>
    <definedName name="BLPR620040129204149993_2_5" hidden="1">#REF!</definedName>
    <definedName name="BLPR620040129204149993_3_5" hidden="1">#REF!</definedName>
    <definedName name="BLPR620040129204149993_4_5" hidden="1">#REF!</definedName>
    <definedName name="BLPR620040129204149993_5_5" hidden="1">#REF!</definedName>
    <definedName name="BLPR720040129204514631" hidden="1">#REF!</definedName>
    <definedName name="BLPR720040129204514631_1_5" hidden="1">#REF!</definedName>
    <definedName name="BLPR720040129204514631_2_5" hidden="1">#REF!</definedName>
    <definedName name="BLPR720040129204514631_3_5" hidden="1">#REF!</definedName>
    <definedName name="BLPR720040129204514631_4_5" hidden="1">#REF!</definedName>
    <definedName name="BLPR720040129204514631_5_5" hidden="1">#REF!</definedName>
    <definedName name="BLPR820040129204514642" hidden="1">#REF!</definedName>
    <definedName name="BLPR820040129204514642_1_5" hidden="1">#REF!</definedName>
    <definedName name="BLPR820040129204514642_2_5" hidden="1">#REF!</definedName>
    <definedName name="BLPR820040129204514642_3_5" hidden="1">#REF!</definedName>
    <definedName name="BLPR820040129204514642_4_5" hidden="1">#REF!</definedName>
    <definedName name="BLPR820040129204514642_5_5" hidden="1">#REF!</definedName>
    <definedName name="BLPR920040129204514642" hidden="1">#REF!</definedName>
    <definedName name="BLPR920040129204514642_1_5" hidden="1">#REF!</definedName>
    <definedName name="BLPR920040129204514642_2_5" hidden="1">#REF!</definedName>
    <definedName name="BLPR920040129204514642_3_5" hidden="1">#REF!</definedName>
    <definedName name="BLPR920040129204514642_4_5" hidden="1">#REF!</definedName>
    <definedName name="BLPR920040129204514642_5_5" hidden="1">#REF!</definedName>
    <definedName name="Cwvu.CapersView." hidden="1">#REF!</definedName>
    <definedName name="Cwvu.Japan_Capers_Ed_Pub." hidden="1">#REF!</definedName>
    <definedName name="dgsgf" localSheetId="1" hidden="1">{#N/A,#N/A,FALSE,"TMCOMP96";#N/A,#N/A,FALSE,"MAT96";#N/A,#N/A,FALSE,"FANDA96";#N/A,#N/A,FALSE,"INTRAN96";#N/A,#N/A,FALSE,"NAA9697";#N/A,#N/A,FALSE,"ECWEBB";#N/A,#N/A,FALSE,"MFT96";#N/A,#N/A,FALSE,"CTrecon"}</definedName>
    <definedName name="dgsgf" hidden="1">{#N/A,#N/A,FALSE,"TMCOMP96";#N/A,#N/A,FALSE,"MAT96";#N/A,#N/A,FALSE,"FANDA96";#N/A,#N/A,FALSE,"INTRAN96";#N/A,#N/A,FALSE,"NAA9697";#N/A,#N/A,FALSE,"ECWEBB";#N/A,#N/A,FALSE,"MFT96";#N/A,#N/A,FALSE,"CTrecon"}</definedName>
    <definedName name="Distribution" hidden="1">#REF!</definedName>
    <definedName name="ExtraProfiles" hidden="1">#REF!</definedName>
    <definedName name="f" localSheetId="1" hidden="1">{"'PRODUCTIONCOST SHEET'!$B$3:$G$48"}</definedName>
    <definedName name="f" hidden="1">{"'PRODUCTIONCOST SHEET'!$B$3:$G$48"}</definedName>
    <definedName name="ff" localSheetId="1" hidden="1">{#N/A,#N/A,FALSE,"PRJCTED MNTHLY QTY's"}</definedName>
    <definedName name="ff" hidden="1">{#N/A,#N/A,FALSE,"PRJCTED MNTHLY QTY's"}</definedName>
    <definedName name="fffff" localSheetId="1" hidden="1">{#N/A,#N/A,FALSE,"PRJCTED QTRLY QTY's"}</definedName>
    <definedName name="fffff" hidden="1">{#N/A,#N/A,FALSE,"PRJCTED QTRLY QTY's"}</definedName>
    <definedName name="fg" localSheetId="1" hidden="1">{#N/A,#N/A,FALSE,"TMCOMP96";#N/A,#N/A,FALSE,"MAT96";#N/A,#N/A,FALSE,"FANDA96";#N/A,#N/A,FALSE,"INTRAN96";#N/A,#N/A,FALSE,"NAA9697";#N/A,#N/A,FALSE,"ECWEBB";#N/A,#N/A,FALSE,"MFT96";#N/A,#N/A,FALSE,"CTrecon"}</definedName>
    <definedName name="fg" hidden="1">{#N/A,#N/A,FALSE,"TMCOMP96";#N/A,#N/A,FALSE,"MAT96";#N/A,#N/A,FALSE,"FANDA96";#N/A,#N/A,FALSE,"INTRAN96";#N/A,#N/A,FALSE,"NAA9697";#N/A,#N/A,FALSE,"ECWEBB";#N/A,#N/A,FALSE,"MFT96";#N/A,#N/A,FALSE,"CTrecon"}</definedName>
    <definedName name="fgfd" localSheetId="1" hidden="1">{#N/A,#N/A,FALSE,"TMCOMP96";#N/A,#N/A,FALSE,"MAT96";#N/A,#N/A,FALSE,"FANDA96";#N/A,#N/A,FALSE,"INTRAN96";#N/A,#N/A,FALSE,"NAA9697";#N/A,#N/A,FALSE,"ECWEBB";#N/A,#N/A,FALSE,"MFT96";#N/A,#N/A,FALSE,"CTrecon"}</definedName>
    <definedName name="fgfd" hidden="1">{#N/A,#N/A,FALSE,"TMCOMP96";#N/A,#N/A,FALSE,"MAT96";#N/A,#N/A,FALSE,"FANDA96";#N/A,#N/A,FALSE,"INTRAN96";#N/A,#N/A,FALSE,"NAA9697";#N/A,#N/A,FALSE,"ECWEBB";#N/A,#N/A,FALSE,"MFT96";#N/A,#N/A,FALSE,"CTrecon"}</definedName>
    <definedName name="ghj" localSheetId="1" hidden="1">{#N/A,#N/A,FALSE,"TMCOMP96";#N/A,#N/A,FALSE,"MAT96";#N/A,#N/A,FALSE,"FANDA96";#N/A,#N/A,FALSE,"INTRAN96";#N/A,#N/A,FALSE,"NAA9697";#N/A,#N/A,FALSE,"ECWEBB";#N/A,#N/A,FALSE,"MFT96";#N/A,#N/A,FALSE,"CTrecon"}</definedName>
    <definedName name="ghj" hidden="1">{#N/A,#N/A,FALSE,"TMCOMP96";#N/A,#N/A,FALSE,"MAT96";#N/A,#N/A,FALSE,"FANDA96";#N/A,#N/A,FALSE,"INTRAN96";#N/A,#N/A,FALSE,"NAA9697";#N/A,#N/A,FALSE,"ECWEBB";#N/A,#N/A,FALSE,"MFT96";#N/A,#N/A,FALSE,"CTrecon"}</definedName>
    <definedName name="gjk" localSheetId="1" hidden="1">{#N/A,#N/A,FALSE,"DI 2 YEAR MASTER SCHEDULE"}</definedName>
    <definedName name="gjk" hidden="1">{#N/A,#N/A,FALSE,"DI 2 YEAR MASTER SCHEDULE"}</definedName>
    <definedName name="gwge" hidden="1">#REF!</definedName>
    <definedName name="hh" localSheetId="1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hh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HTML_CodePage" hidden="1">1252</definedName>
    <definedName name="HTML_Control" localSheetId="1" hidden="1">{"'PRODUCTIONCOST SHEET'!$B$3:$G$48"}</definedName>
    <definedName name="HTML_Control" hidden="1">{"'PRODUCTIONCOST SHEET'!$B$3:$G$48"}</definedName>
    <definedName name="HTML_Description" hidden="1">"DRAFT"</definedName>
    <definedName name="HTML_Email" hidden="1">"Patrick_Blattner@Studio.Disney.com"</definedName>
    <definedName name="HTML_Header" hidden="1">"EXISTING &amp; FUTURE PRODUCTS (CONFIDENTIAL)"</definedName>
    <definedName name="HTML_LastUpdate" hidden="1">"2/8/98"</definedName>
    <definedName name="HTML_LineAfter" hidden="1">FALSE</definedName>
    <definedName name="HTML_LineBefore" hidden="1">TRUE</definedName>
    <definedName name="HTML_Name" hidden="1">"Patrick Blattner"</definedName>
    <definedName name="HTML_OBDlg2" hidden="1">TRUE</definedName>
    <definedName name="HTML_OBDlg4" hidden="1">TRUE</definedName>
    <definedName name="HTML_OS" hidden="1">0</definedName>
    <definedName name="HTML_PathFile" hidden="1">"K:\ANIMATE\SECURE\Production\INTRANET\ANI.HTML.htm"</definedName>
    <definedName name="HTML_Title" hidden="1">"2D ANIMATION PRODUCTION TABLE"</definedName>
    <definedName name="IQ_DNTM" hidden="1">700000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MTD" hidden="1">800000</definedName>
    <definedName name="IQ_NAMES_REVISION_DATE_" hidden="1">"06/22/2018 13:52:39"</definedName>
    <definedName name="IQ_QTD" hidden="1">750000</definedName>
    <definedName name="IQ_TODAY" hidden="1">0</definedName>
    <definedName name="IQ_YTDMONTH" hidden="1">130000</definedName>
    <definedName name="jhkgh" localSheetId="1" hidden="1">{#N/A,#N/A,FALSE,"TMCOMP96";#N/A,#N/A,FALSE,"MAT96";#N/A,#N/A,FALSE,"FANDA96";#N/A,#N/A,FALSE,"INTRAN96";#N/A,#N/A,FALSE,"NAA9697";#N/A,#N/A,FALSE,"ECWEBB";#N/A,#N/A,FALSE,"MFT96";#N/A,#N/A,FALSE,"CTrecon"}</definedName>
    <definedName name="jhkgh" hidden="1">{#N/A,#N/A,FALSE,"TMCOMP96";#N/A,#N/A,FALSE,"MAT96";#N/A,#N/A,FALSE,"FANDA96";#N/A,#N/A,FALSE,"INTRAN96";#N/A,#N/A,FALSE,"NAA9697";#N/A,#N/A,FALSE,"ECWEBB";#N/A,#N/A,FALSE,"MFT96";#N/A,#N/A,FALSE,"CTrecon"}</definedName>
    <definedName name="jhkgh2" localSheetId="1" hidden="1">{#N/A,#N/A,FALSE,"TMCOMP96";#N/A,#N/A,FALSE,"MAT96";#N/A,#N/A,FALSE,"FANDA96";#N/A,#N/A,FALSE,"INTRAN96";#N/A,#N/A,FALSE,"NAA9697";#N/A,#N/A,FALSE,"ECWEBB";#N/A,#N/A,FALSE,"MFT96";#N/A,#N/A,FALSE,"CTrecon"}</definedName>
    <definedName name="jhkgh2" hidden="1">{#N/A,#N/A,FALSE,"TMCOMP96";#N/A,#N/A,FALSE,"MAT96";#N/A,#N/A,FALSE,"FANDA96";#N/A,#N/A,FALSE,"INTRAN96";#N/A,#N/A,FALSE,"NAA9697";#N/A,#N/A,FALSE,"ECWEBB";#N/A,#N/A,FALSE,"MFT96";#N/A,#N/A,FALSE,"CTrecon"}</definedName>
    <definedName name="khkjk" localSheetId="1" hidden="1">{"staff",#N/A,FALSE,"Current Month"}</definedName>
    <definedName name="khkjk" hidden="1">{"staff",#N/A,FALSE,"Current Month"}</definedName>
    <definedName name="l" localSheetId="1" hidden="1">{#N/A,#N/A,FALSE,"DI 2 YEAR MASTER SCHEDULE"}</definedName>
    <definedName name="l" hidden="1">{#N/A,#N/A,FALSE,"DI 2 YEAR MASTER SCHEDULE"}</definedName>
    <definedName name="ListOffset" hidden="1">1</definedName>
    <definedName name="lkl" localSheetId="1" hidden="1">{#N/A,#N/A,FALSE,"DI 2 YEAR MASTER SCHEDULE"}</definedName>
    <definedName name="lkl" hidden="1">{#N/A,#N/A,FALSE,"DI 2 YEAR MASTER SCHEDULE"}</definedName>
    <definedName name="mm" localSheetId="1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mm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mmmm" localSheetId="1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mmmm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nn" localSheetId="1" hidden="1">{#N/A,#N/A,FALSE,"PRJCTED QTRLY $'s"}</definedName>
    <definedName name="nn" hidden="1">{#N/A,#N/A,FALSE,"PRJCTED QTRLY $'s"}</definedName>
    <definedName name="nominal">"£m nominal"</definedName>
    <definedName name="odd" localSheetId="1" hidden="1">{"staff",#N/A,FALSE,"Current Month"}</definedName>
    <definedName name="odd" hidden="1">{"staff",#N/A,FALSE,"Current Month"}</definedName>
    <definedName name="Option2" localSheetId="1" hidden="1">{#N/A,#N/A,FALSE,"TMCOMP96";#N/A,#N/A,FALSE,"MAT96";#N/A,#N/A,FALSE,"FANDA96";#N/A,#N/A,FALSE,"INTRAN96";#N/A,#N/A,FALSE,"NAA9697";#N/A,#N/A,FALSE,"ECWEBB";#N/A,#N/A,FALSE,"MFT96";#N/A,#N/A,FALSE,"CTrecon"}</definedName>
    <definedName name="Option2" hidden="1">{#N/A,#N/A,FALSE,"TMCOMP96";#N/A,#N/A,FALSE,"MAT96";#N/A,#N/A,FALSE,"FANDA96";#N/A,#N/A,FALSE,"INTRAN96";#N/A,#N/A,FALSE,"NAA9697";#N/A,#N/A,FALSE,"ECWEBB";#N/A,#N/A,FALSE,"MFT96";#N/A,#N/A,FALSE,"CTrecon"}</definedName>
    <definedName name="Pal_Workbook_GUID" hidden="1">"LJ9YVKRJVQ1A1KNUG7XIT5A9"</definedName>
    <definedName name="PCf">Transform_TO!$L$170:$AY$170</definedName>
    <definedName name="Pop" hidden="1">#REF!</definedName>
    <definedName name="Population" hidden="1">#REF!</definedName>
    <definedName name="PreRIIO">NGT_TO!$K$591:$AY$591</definedName>
    <definedName name="price_label">NGT_TO!$I$599</definedName>
    <definedName name="Profiles" hidden="1">#REF!</definedName>
    <definedName name="Projections" hidden="1">#REF!</definedName>
    <definedName name="qs" localSheetId="1" hidden="1">{#N/A,#N/A,FALSE,"PRJCTED MNTHLY QTY's"}</definedName>
    <definedName name="qs" hidden="1">{#N/A,#N/A,FALSE,"PRJCTED MNTHLY QTY's"}</definedName>
    <definedName name="Results" hidden="1">#REF!</definedName>
    <definedName name="RIIO1">NGT_TO!$K$590:$AY$590</definedName>
    <definedName name="RIIO2">NGT_TO!$K$589:$AY$589</definedName>
    <definedName name="RIIO3">NGT_TO!$K$588:$AY$588</definedName>
    <definedName name="RiskAfterRecalcMacro" hidden="1">"Simulation"</definedName>
    <definedName name="RiskAfterSimMacro" hidden="1">"Reset"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</definedName>
    <definedName name="RiskNumSimulations" hidden="1">1</definedName>
    <definedName name="RiskPauseOnError" hidden="1">FALSE</definedName>
    <definedName name="RiskRunAfterRecalcMacro" hidden="1">TRUE</definedName>
    <definedName name="RiskRunAfterSimMacro" hidden="1">TRUE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2</definedName>
    <definedName name="RiskUpdateDisplay" hidden="1">FALSE</definedName>
    <definedName name="RiskUseDifferentSeedForEachSim" hidden="1">FALSE</definedName>
    <definedName name="RiskUseFixedSeed" hidden="1">TRUE</definedName>
    <definedName name="RiskUseMultipleCPUs" hidden="1">FALSE</definedName>
    <definedName name="Rwvu.CapersView." hidden="1">#REF!</definedName>
    <definedName name="Rwvu.Japan_Capers_Ed_Pub." hidden="1">#REF!</definedName>
    <definedName name="Rwvu.KJP_CC." hidden="1">#REF!</definedName>
    <definedName name="SAPBEXhrIndnt" hidden="1">"Wide"</definedName>
    <definedName name="SAPBEXrevision" hidden="1">1</definedName>
    <definedName name="SAPBEXsysID" hidden="1">"BWP"</definedName>
    <definedName name="SAPBEXwbID" hidden="1">"3M0Y5JZ0K259IJHR15SO2N9QE"</definedName>
    <definedName name="SAPsysID" hidden="1">"708C5W7SBKP804JT78WJ0JNKI"</definedName>
    <definedName name="SAPwbID" hidden="1">"ARS"</definedName>
    <definedName name="sdf" localSheetId="1" hidden="1">{#N/A,#N/A,FALSE,"TMCOMP96";#N/A,#N/A,FALSE,"MAT96";#N/A,#N/A,FALSE,"FANDA96";#N/A,#N/A,FALSE,"INTRAN96";#N/A,#N/A,FALSE,"NAA9697";#N/A,#N/A,FALSE,"ECWEBB";#N/A,#N/A,FALSE,"MFT96";#N/A,#N/A,FALSE,"CTrecon"}</definedName>
    <definedName name="sdf" hidden="1">{#N/A,#N/A,FALSE,"TMCOMP96";#N/A,#N/A,FALSE,"MAT96";#N/A,#N/A,FALSE,"FANDA96";#N/A,#N/A,FALSE,"INTRAN96";#N/A,#N/A,FALSE,"NAA9697";#N/A,#N/A,FALSE,"ECWEBB";#N/A,#N/A,FALSE,"MFT96";#N/A,#N/A,FALSE,"CTrecon"}</definedName>
    <definedName name="sdff" localSheetId="1" hidden="1">{#N/A,#N/A,FALSE,"TMCOMP96";#N/A,#N/A,FALSE,"MAT96";#N/A,#N/A,FALSE,"FANDA96";#N/A,#N/A,FALSE,"INTRAN96";#N/A,#N/A,FALSE,"NAA9697";#N/A,#N/A,FALSE,"ECWEBB";#N/A,#N/A,FALSE,"MFT96";#N/A,#N/A,FALSE,"CTrecon"}</definedName>
    <definedName name="sdff" hidden="1">{#N/A,#N/A,FALSE,"TMCOMP96";#N/A,#N/A,FALSE,"MAT96";#N/A,#N/A,FALSE,"FANDA96";#N/A,#N/A,FALSE,"INTRAN96";#N/A,#N/A,FALSE,"NAA9697";#N/A,#N/A,FALSE,"ECWEBB";#N/A,#N/A,FALSE,"MFT96";#N/A,#N/A,FALSE,"CTrecon"}</definedName>
    <definedName name="sfad" localSheetId="1" hidden="1">{#N/A,#N/A,FALSE,"TMCOMP96";#N/A,#N/A,FALSE,"MAT96";#N/A,#N/A,FALSE,"FANDA96";#N/A,#N/A,FALSE,"INTRAN96";#N/A,#N/A,FALSE,"NAA9697";#N/A,#N/A,FALSE,"ECWEBB";#N/A,#N/A,FALSE,"MFT96";#N/A,#N/A,FALSE,"CTrecon"}</definedName>
    <definedName name="sfad" hidden="1">{#N/A,#N/A,FALSE,"TMCOMP96";#N/A,#N/A,FALSE,"MAT96";#N/A,#N/A,FALSE,"FANDA96";#N/A,#N/A,FALSE,"INTRAN96";#N/A,#N/A,FALSE,"NAA9697";#N/A,#N/A,FALSE,"ECWEBB";#N/A,#N/A,FALSE,"MFT96";#N/A,#N/A,FALSE,"CTrecon"}</definedName>
    <definedName name="StartingBalance">NGT_TO!$K$587:$AY$587</definedName>
    <definedName name="StartNonCore">NGT_TO!$K$594:$AY$594</definedName>
    <definedName name="Swvu.CapersView." hidden="1">#REF!</definedName>
    <definedName name="Swvu.Japan_Capers_Ed_Pub." hidden="1">#REF!</definedName>
    <definedName name="Swvu.KJP_CC." hidden="1">#REF!</definedName>
    <definedName name="TopRankDefaultDistForRange" hidden="1">0</definedName>
    <definedName name="TopRankDefaultMaxChange" hidden="1">0.1</definedName>
    <definedName name="TopRankDefaultMinChange" hidden="1">-0.1</definedName>
    <definedName name="TopRankDefaultMultiGroupSize" hidden="1">2</definedName>
    <definedName name="TopRankDefaultMultiStepsPerInput" hidden="1">2</definedName>
    <definedName name="TopRankDefaultRangeType" hidden="1">0</definedName>
    <definedName name="TopRankDefaultStepsPerInput" hidden="1">5</definedName>
    <definedName name="TopRankDetailByInputReport" hidden="1">FALSE</definedName>
    <definedName name="TopRankMaxInputsPerGraph" hidden="1">10</definedName>
    <definedName name="TopRankMultiWayReport" hidden="1">FALSE</definedName>
    <definedName name="TopRankNumberOfRuns" hidden="1">1</definedName>
    <definedName name="TopRankOnlyInputsOverThreshold" hidden="1">TRUE</definedName>
    <definedName name="TopRankOnlyTopRanking" hidden="1">TRUE</definedName>
    <definedName name="TopRankOutputDetailReport" hidden="1">FALSE</definedName>
    <definedName name="TopRankOutputsAsPercentChange" hidden="1">FALSE</definedName>
    <definedName name="TopRankOverwriteExisting" hidden="1">FALSE</definedName>
    <definedName name="TopRankPauseOnError" hidden="1">FALSE</definedName>
    <definedName name="TopRankPerformPrecedentScanAddOutput" hidden="1">FALSE</definedName>
    <definedName name="TopRankPerformPrecedentScanAtStart" hidden="1">TRUE</definedName>
    <definedName name="TopRankPrecedentScanType" hidden="1">1</definedName>
    <definedName name="TopRankReportAllOutputCells" hidden="1">TRUE</definedName>
    <definedName name="TopRankReportsInExistingWorkbook" hidden="1">FALSE</definedName>
    <definedName name="TopRankReportsInExistingWorkbookName" hidden="1">"Active Workbook"</definedName>
    <definedName name="TopRankReportsInNewWorkbook" hidden="1">TRUE</definedName>
    <definedName name="TopRankSensitivityGraphs" hidden="1">FALSE</definedName>
    <definedName name="TopRankSingleWorkbookAllResults" hidden="1">FALSE</definedName>
    <definedName name="TopRankSpiderGraphs" hidden="1">TRUE</definedName>
    <definedName name="TopRankTornadoGraphs" hidden="1">TRUE</definedName>
    <definedName name="TopRankUpdateDisplay" hidden="1">FALSE</definedName>
    <definedName name="trggh" localSheetId="1" hidden="1">{#N/A,#N/A,FALSE,"TMCOMP96";#N/A,#N/A,FALSE,"MAT96";#N/A,#N/A,FALSE,"FANDA96";#N/A,#N/A,FALSE,"INTRAN96";#N/A,#N/A,FALSE,"NAA9697";#N/A,#N/A,FALSE,"ECWEBB";#N/A,#N/A,FALSE,"MFT96";#N/A,#N/A,FALSE,"CTrecon"}</definedName>
    <definedName name="trggh" hidden="1">{#N/A,#N/A,FALSE,"TMCOMP96";#N/A,#N/A,FALSE,"MAT96";#N/A,#N/A,FALSE,"FANDA96";#N/A,#N/A,FALSE,"INTRAN96";#N/A,#N/A,FALSE,"NAA9697";#N/A,#N/A,FALSE,"ECWEBB";#N/A,#N/A,FALSE,"MFT96";#N/A,#N/A,FALSE,"CTrecon"}</definedName>
    <definedName name="u" localSheetId="1" hidden="1">{#VALUE!,#N/A,FALSE,0}</definedName>
    <definedName name="u" hidden="1">{#VALUE!,#N/A,FALSE,0}</definedName>
    <definedName name="UAG" localSheetId="1" hidden="1">{#N/A,#N/A,FALSE,"DI 2 YEAR MASTER SCHEDULE"}</definedName>
    <definedName name="UAG" hidden="1">{#N/A,#N/A,FALSE,"DI 2 YEAR MASTER SCHEDULE"}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v" localSheetId="1" hidden="1">{"Japan_Capers_Ed_Pub",#N/A,FALSE,"DI 2 YEAR MASTER SCHEDULE"}</definedName>
    <definedName name="v" hidden="1">{"Japan_Capers_Ed_Pub",#N/A,FALSE,"DI 2 YEAR MASTER SCHEDULE"}</definedName>
    <definedName name="wrn.CapersPlotter." localSheetId="1" hidden="1">{#N/A,#N/A,FALSE,"DI 2 YEAR MASTER SCHEDULE"}</definedName>
    <definedName name="wrn.CapersPlotter." hidden="1">{#N/A,#N/A,FALSE,"DI 2 YEAR MASTER SCHEDULE"}</definedName>
    <definedName name="wrn.Edutainment._.Priority._.List." localSheetId="1" hidden="1">{#N/A,#N/A,FALSE,"DI 2 YEAR MASTER SCHEDULE"}</definedName>
    <definedName name="wrn.Edutainment._.Priority._.List." hidden="1">{#N/A,#N/A,FALSE,"DI 2 YEAR MASTER SCHEDULE"}</definedName>
    <definedName name="wrn.Japan_Capers_Ed._.Pub." localSheetId="1" hidden="1">{"Japan_Capers_Ed_Pub",#N/A,FALSE,"DI 2 YEAR MASTER SCHEDULE"}</definedName>
    <definedName name="wrn.Japan_Capers_Ed._.Pub." hidden="1">{"Japan_Capers_Ed_Pub",#N/A,FALSE,"DI 2 YEAR MASTER SCHEDULE"}</definedName>
    <definedName name="wrn.Mat." localSheetId="1" hidden="1">{"staff",#N/A,FALSE,"Current Month"}</definedName>
    <definedName name="wrn.Mat." hidden="1">{"staff",#N/A,FALSE,"Current Month"}</definedName>
    <definedName name="wrn.Priority._.list." localSheetId="1" hidden="1">{#N/A,#N/A,FALSE,"DI 2 YEAR MASTER SCHEDULE"}</definedName>
    <definedName name="wrn.Priority._.list." hidden="1">{#N/A,#N/A,FALSE,"DI 2 YEAR MASTER SCHEDULE"}</definedName>
    <definedName name="wrn.Prjcted._.Mnthly._.Qtys." localSheetId="1" hidden="1">{#N/A,#N/A,FALSE,"PRJCTED MNTHLY QTY's"}</definedName>
    <definedName name="wrn.Prjcted._.Mnthly._.Qtys." hidden="1">{#N/A,#N/A,FALSE,"PRJCTED MNTHLY QTY's"}</definedName>
    <definedName name="wrn.Prjcted._.Qtrly._.Dollars." localSheetId="1" hidden="1">{#N/A,#N/A,FALSE,"PRJCTED QTRLY $'s"}</definedName>
    <definedName name="wrn.Prjcted._.Qtrly._.Dollars." hidden="1">{#N/A,#N/A,FALSE,"PRJCTED QTRLY $'s"}</definedName>
    <definedName name="wrn.Prjcted._.Qtrly._.Qtys." localSheetId="1" hidden="1">{#N/A,#N/A,FALSE,"PRJCTED QTRLY QTY's"}</definedName>
    <definedName name="wrn.Prjcted._.Qtrly._.Qtys." hidden="1">{#N/A,#N/A,FALSE,"PRJCTED QTRLY QTY's"}</definedName>
    <definedName name="wrn.TMCOMP." localSheetId="1" hidden="1">{#N/A,#N/A,FALSE,"TMCOMP96";#N/A,#N/A,FALSE,"MAT96";#N/A,#N/A,FALSE,"FANDA96";#N/A,#N/A,FALSE,"INTRAN96";#N/A,#N/A,FALSE,"NAA9697";#N/A,#N/A,FALSE,"ECWEBB";#N/A,#N/A,FALSE,"MFT96";#N/A,#N/A,FALSE,"CTrecon"}</definedName>
    <definedName name="wrn.TMCOMP." hidden="1">{#N/A,#N/A,FALSE,"TMCOMP96";#N/A,#N/A,FALSE,"MAT96";#N/A,#N/A,FALSE,"FANDA96";#N/A,#N/A,FALSE,"INTRAN96";#N/A,#N/A,FALSE,"NAA9697";#N/A,#N/A,FALSE,"ECWEBB";#N/A,#N/A,FALSE,"MFT96";#N/A,#N/A,FALSE,"CTrecon"}</definedName>
    <definedName name="wvu.CapersView." localSheetId="1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wvu.CapersView.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wvu.Japan_Capers_Ed_Pub." localSheetId="1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wvu.Japan_Capers_Ed_Pub.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wvu.KJP_CC." localSheetId="1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wvu.KJP_CC.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x" localSheetId="1" hidden="1">{#N/A,#N/A,FALSE,"DI 2 YEAR MASTER SCHEDULE"}</definedName>
    <definedName name="x" hidden="1">{#N/A,#N/A,FALSE,"DI 2 YEAR MASTER SCHEDULE"}</definedName>
    <definedName name="y" localSheetId="1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y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z" localSheetId="1" hidden="1">{#N/A,#N/A,FALSE,"DI 2 YEAR MASTER SCHEDULE"}</definedName>
    <definedName name="z" hidden="1">{#N/A,#N/A,FALSE,"DI 2 YEAR MASTER SCHEDULE"}</definedName>
    <definedName name="Z_9A428CE1_B4D9_11D0_A8AA_0000C071AEE7_.wvu.Cols" hidden="1">#REF!,#REF!</definedName>
    <definedName name="Z_9A428CE1_B4D9_11D0_A8AA_0000C071AEE7_.wvu.PrintArea" hidden="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C116" i="25" l="1"/>
  <c r="BB116" i="25"/>
  <c r="BB70" i="25"/>
  <c r="BB75" i="25"/>
  <c r="BC130" i="15"/>
  <c r="BC124" i="15"/>
  <c r="BC184" i="26"/>
  <c r="BB184" i="26"/>
  <c r="BC179" i="26"/>
  <c r="BB179" i="26"/>
  <c r="BC31" i="26"/>
  <c r="BB31" i="26"/>
  <c r="BC30" i="26"/>
  <c r="BB30" i="26"/>
  <c r="BC592" i="14"/>
  <c r="BB592" i="14"/>
  <c r="BB31" i="38"/>
  <c r="BB29" i="38"/>
  <c r="BB23" i="38"/>
  <c r="BC125" i="27"/>
  <c r="BB125" i="27"/>
  <c r="BC77" i="13"/>
  <c r="BB77" i="13"/>
  <c r="BC147" i="25"/>
  <c r="BB147" i="25"/>
  <c r="BC143" i="25"/>
  <c r="BB143" i="25"/>
  <c r="BB60" i="25"/>
  <c r="BB61" i="25"/>
  <c r="BB54" i="25"/>
  <c r="BB21" i="25"/>
  <c r="BC285" i="15"/>
  <c r="BB285" i="15"/>
  <c r="BC281" i="15"/>
  <c r="BB281" i="15"/>
  <c r="BC271" i="15"/>
  <c r="BB271" i="15"/>
  <c r="BB260" i="15"/>
  <c r="BB258" i="15"/>
  <c r="BB257" i="15"/>
  <c r="BB256" i="15"/>
  <c r="BB255" i="15"/>
  <c r="BB254" i="15"/>
  <c r="BB252" i="15"/>
  <c r="BB251" i="15"/>
  <c r="BB250" i="15"/>
  <c r="BB249" i="15"/>
  <c r="BC225" i="15"/>
  <c r="BD233" i="15"/>
  <c r="BD232" i="15"/>
  <c r="BD231" i="15"/>
  <c r="BB117" i="15"/>
  <c r="E13" i="8"/>
  <c r="AT69" i="40" l="1"/>
  <c r="AS69" i="40"/>
  <c r="AR69" i="40"/>
  <c r="AQ69" i="40"/>
  <c r="AP69" i="40"/>
  <c r="AO69" i="40"/>
  <c r="AN69" i="40"/>
  <c r="AM69" i="40"/>
  <c r="AL69" i="40"/>
  <c r="AK69" i="40"/>
  <c r="AJ69" i="40"/>
  <c r="AI69" i="40"/>
  <c r="AH69" i="40"/>
  <c r="AG69" i="40"/>
  <c r="AF69" i="40"/>
  <c r="AE69" i="40"/>
  <c r="AD69" i="40"/>
  <c r="AC69" i="40"/>
  <c r="AB69" i="40"/>
  <c r="AA69" i="40"/>
  <c r="Z69" i="40"/>
  <c r="Y69" i="40"/>
  <c r="X69" i="40"/>
  <c r="W69" i="40"/>
  <c r="V69" i="40"/>
  <c r="U69" i="40"/>
  <c r="T69" i="40"/>
  <c r="S69" i="40"/>
  <c r="R69" i="40"/>
  <c r="Q69" i="40"/>
  <c r="P69" i="40"/>
  <c r="O69" i="40"/>
  <c r="N69" i="40"/>
  <c r="M69" i="40"/>
  <c r="L69" i="40"/>
  <c r="K69" i="40"/>
  <c r="AT50" i="40" a="1"/>
  <c r="AT50" i="40" s="1"/>
  <c r="AS50" i="40" a="1"/>
  <c r="AS50" i="40" s="1"/>
  <c r="AR50" i="40" a="1"/>
  <c r="AR50" i="40" s="1"/>
  <c r="AQ50" i="40" a="1"/>
  <c r="AQ50" i="40" s="1"/>
  <c r="AP50" i="40" a="1"/>
  <c r="AP50" i="40" s="1"/>
  <c r="AO50" i="40" a="1"/>
  <c r="AO50" i="40" s="1"/>
  <c r="AN50" i="40" a="1"/>
  <c r="AN50" i="40" s="1"/>
  <c r="AM50" i="40" a="1"/>
  <c r="AM50" i="40" s="1"/>
  <c r="AL50" i="40" a="1"/>
  <c r="AL50" i="40" s="1"/>
  <c r="AK50" i="40" a="1"/>
  <c r="AK50" i="40" s="1"/>
  <c r="AJ50" i="40" a="1"/>
  <c r="AJ50" i="40" s="1"/>
  <c r="AI50" i="40" a="1"/>
  <c r="AI50" i="40" s="1"/>
  <c r="AH50" i="40" a="1"/>
  <c r="AH50" i="40" s="1"/>
  <c r="AG50" i="40" a="1"/>
  <c r="AG50" i="40" s="1"/>
  <c r="AF50" i="40" a="1"/>
  <c r="AF50" i="40" s="1"/>
  <c r="AE50" i="40" a="1"/>
  <c r="AE50" i="40" s="1"/>
  <c r="AD50" i="40" a="1"/>
  <c r="AD50" i="40" s="1"/>
  <c r="AC50" i="40" a="1"/>
  <c r="AC50" i="40" s="1"/>
  <c r="AB50" i="40" a="1"/>
  <c r="AB50" i="40" s="1"/>
  <c r="AA50" i="40" a="1"/>
  <c r="AA50" i="40" s="1"/>
  <c r="Z50" i="40" a="1"/>
  <c r="Z50" i="40" s="1"/>
  <c r="Y50" i="40" a="1"/>
  <c r="Y50" i="40" s="1"/>
  <c r="X50" i="40" a="1"/>
  <c r="X50" i="40" s="1"/>
  <c r="W50" i="40" a="1"/>
  <c r="W50" i="40" s="1"/>
  <c r="V50" i="40" a="1"/>
  <c r="V50" i="40" s="1"/>
  <c r="U50" i="40" a="1"/>
  <c r="U50" i="40" s="1"/>
  <c r="T50" i="40" a="1"/>
  <c r="T50" i="40" s="1"/>
  <c r="S50" i="40" a="1"/>
  <c r="S50" i="40" s="1"/>
  <c r="R50" i="40" a="1"/>
  <c r="R50" i="40" s="1"/>
  <c r="Q50" i="40" a="1"/>
  <c r="Q50" i="40" s="1"/>
  <c r="P50" i="40" a="1"/>
  <c r="P50" i="40" s="1"/>
  <c r="O50" i="40" a="1"/>
  <c r="O50" i="40" s="1"/>
  <c r="N50" i="40" a="1"/>
  <c r="N50" i="40" s="1"/>
  <c r="M50" i="40" a="1"/>
  <c r="M50" i="40" s="1"/>
  <c r="L50" i="40" a="1"/>
  <c r="L50" i="40" s="1"/>
  <c r="K50" i="40" a="1"/>
  <c r="K50" i="40" s="1"/>
  <c r="F83" i="25" l="1"/>
  <c r="F80" i="25"/>
  <c r="F141" i="25"/>
  <c r="BC133" i="25"/>
  <c r="BB133" i="25"/>
  <c r="I133" i="25"/>
  <c r="I16" i="34" s="1"/>
  <c r="I271" i="15"/>
  <c r="I16" i="33" s="1"/>
  <c r="BC579" i="14"/>
  <c r="BB579" i="14"/>
  <c r="D16" i="34" a="1"/>
  <c r="D16" i="33" a="1"/>
  <c r="D16" i="34" l="1"/>
  <c r="D16" i="33"/>
  <c r="E81" i="26" l="1"/>
  <c r="E82" i="26"/>
  <c r="E83" i="26"/>
  <c r="E84" i="26"/>
  <c r="E85" i="26"/>
  <c r="E86" i="26"/>
  <c r="E87" i="26"/>
  <c r="E88" i="26"/>
  <c r="E89" i="26"/>
  <c r="E90" i="26"/>
  <c r="E91" i="26"/>
  <c r="E92" i="26"/>
  <c r="E93" i="26"/>
  <c r="E94" i="26"/>
  <c r="E95" i="26"/>
  <c r="E96" i="26"/>
  <c r="G147" i="25" l="1"/>
  <c r="G143" i="25"/>
  <c r="G285" i="15"/>
  <c r="G281" i="15"/>
  <c r="I60" i="25" l="1"/>
  <c r="G60" i="25"/>
  <c r="G54" i="25"/>
  <c r="F72" i="25" l="1"/>
  <c r="AU72" i="25"/>
  <c r="AV72" i="25"/>
  <c r="AW72" i="25"/>
  <c r="AX72" i="25"/>
  <c r="AY72" i="25"/>
  <c r="BB72" i="25"/>
  <c r="G23" i="38" l="1"/>
  <c r="BB66" i="25" l="1"/>
  <c r="BB53" i="25"/>
  <c r="BB52" i="25"/>
  <c r="G31" i="38" l="1"/>
  <c r="G29" i="38"/>
  <c r="G66" i="25"/>
  <c r="I21" i="25"/>
  <c r="I15" i="38" s="1"/>
  <c r="G14" i="38"/>
  <c r="G13" i="38"/>
  <c r="G125" i="27"/>
  <c r="D15" i="38" a="1"/>
  <c r="D15" i="38" l="1"/>
  <c r="I22" i="25"/>
  <c r="AY7" i="25"/>
  <c r="AY8" i="25" s="1"/>
  <c r="AX7" i="25"/>
  <c r="AX8" i="25" s="1"/>
  <c r="AW7" i="25"/>
  <c r="AW8" i="25" s="1"/>
  <c r="AV7" i="25"/>
  <c r="AV8" i="25" s="1"/>
  <c r="AU7" i="25"/>
  <c r="AU8" i="25" s="1"/>
  <c r="AY7" i="15"/>
  <c r="AY8" i="15" s="1"/>
  <c r="AX7" i="15"/>
  <c r="AX8" i="15" s="1"/>
  <c r="AW7" i="15"/>
  <c r="AW8" i="15" s="1"/>
  <c r="AV7" i="15"/>
  <c r="AV8" i="15" s="1"/>
  <c r="AU7" i="15"/>
  <c r="AU8" i="15" s="1"/>
  <c r="BD126" i="13"/>
  <c r="BC126" i="13"/>
  <c r="BB126" i="13"/>
  <c r="BD125" i="13"/>
  <c r="BC125" i="13"/>
  <c r="BB125" i="13"/>
  <c r="G126" i="13" l="1"/>
  <c r="G125" i="13"/>
  <c r="G53" i="25"/>
  <c r="F53" i="25"/>
  <c r="G52" i="25"/>
  <c r="F52" i="25"/>
  <c r="G31" i="26"/>
  <c r="G30" i="26"/>
  <c r="D9" i="30" l="1"/>
  <c r="F670" i="35" l="1"/>
  <c r="F669" i="35"/>
  <c r="F668" i="35"/>
  <c r="F667" i="35"/>
  <c r="F666" i="35"/>
  <c r="F665" i="35"/>
  <c r="F664" i="35"/>
  <c r="F663" i="35"/>
  <c r="F662" i="35"/>
  <c r="F95" i="35"/>
  <c r="F94" i="35"/>
  <c r="F93" i="35"/>
  <c r="F92" i="35"/>
  <c r="F91" i="35"/>
  <c r="F90" i="35"/>
  <c r="F89" i="35"/>
  <c r="F88" i="35"/>
  <c r="F87" i="35"/>
  <c r="F86" i="35"/>
  <c r="F85" i="35"/>
  <c r="F84" i="35"/>
  <c r="F83" i="35"/>
  <c r="F82" i="35"/>
  <c r="F81" i="35"/>
  <c r="F80" i="35"/>
  <c r="F79" i="35"/>
  <c r="F78" i="35"/>
  <c r="F77" i="35"/>
  <c r="F76" i="35"/>
  <c r="F75" i="35"/>
  <c r="F74" i="35"/>
  <c r="F73" i="35"/>
  <c r="F72" i="35"/>
  <c r="F71" i="35"/>
  <c r="F70" i="35"/>
  <c r="F69" i="35"/>
  <c r="F68" i="35"/>
  <c r="F67" i="35"/>
  <c r="F66" i="35"/>
  <c r="F65" i="35"/>
  <c r="F64" i="35"/>
  <c r="F63" i="35"/>
  <c r="F62" i="35"/>
  <c r="F61" i="35"/>
  <c r="F60" i="35"/>
  <c r="F59" i="35"/>
  <c r="F58" i="35"/>
  <c r="F57" i="35"/>
  <c r="F56" i="35"/>
  <c r="F55" i="35"/>
  <c r="F54" i="35"/>
  <c r="F53" i="35"/>
  <c r="F50" i="35"/>
  <c r="F49" i="35"/>
  <c r="F48" i="35"/>
  <c r="F47" i="35"/>
  <c r="F46" i="35"/>
  <c r="F45" i="35"/>
  <c r="F44" i="35"/>
  <c r="F43" i="35"/>
  <c r="F42" i="35"/>
  <c r="F41" i="35"/>
  <c r="F40" i="35"/>
  <c r="F39" i="35"/>
  <c r="F38" i="35"/>
  <c r="F37" i="35"/>
  <c r="F36" i="35"/>
  <c r="F35" i="35"/>
  <c r="F34" i="35"/>
  <c r="F33" i="35"/>
  <c r="F32" i="35"/>
  <c r="F31" i="35"/>
  <c r="F30" i="35"/>
  <c r="F29" i="35"/>
  <c r="F28" i="35"/>
  <c r="F27" i="35"/>
  <c r="F26" i="35"/>
  <c r="F25" i="35"/>
  <c r="F24" i="35"/>
  <c r="F23" i="35"/>
  <c r="F22" i="35"/>
  <c r="F21" i="35"/>
  <c r="F20" i="35"/>
  <c r="F19" i="35"/>
  <c r="F18" i="35"/>
  <c r="F17" i="35"/>
  <c r="F16" i="35"/>
  <c r="F15" i="35"/>
  <c r="F14" i="35"/>
  <c r="F13" i="35"/>
  <c r="F12" i="35"/>
  <c r="F11" i="35"/>
  <c r="F10" i="35"/>
  <c r="F9" i="35"/>
  <c r="F8" i="35"/>
  <c r="F283" i="15"/>
  <c r="F279" i="15"/>
  <c r="F272" i="15"/>
  <c r="F269" i="15"/>
  <c r="F266" i="15"/>
  <c r="F265" i="15"/>
  <c r="F264" i="15"/>
  <c r="F251" i="15"/>
  <c r="F246" i="15"/>
  <c r="F245" i="15"/>
  <c r="F244" i="15"/>
  <c r="F243" i="15"/>
  <c r="F239" i="15"/>
  <c r="F225" i="15"/>
  <c r="F223" i="15"/>
  <c r="F152" i="15"/>
  <c r="F151" i="15"/>
  <c r="F139" i="15"/>
  <c r="F135" i="15"/>
  <c r="F129" i="15"/>
  <c r="F123" i="15"/>
  <c r="F116" i="15"/>
  <c r="F115" i="15"/>
  <c r="F114" i="15"/>
  <c r="F113" i="15"/>
  <c r="F109" i="15"/>
  <c r="F108" i="15"/>
  <c r="F106" i="15"/>
  <c r="F107" i="15"/>
  <c r="F105" i="15"/>
  <c r="F104" i="15"/>
  <c r="F102" i="15"/>
  <c r="F103" i="15"/>
  <c r="F59" i="15"/>
  <c r="F138" i="25"/>
  <c r="F145" i="25"/>
  <c r="F135" i="25"/>
  <c r="F134" i="25"/>
  <c r="F132" i="25"/>
  <c r="F131" i="25"/>
  <c r="F130" i="25"/>
  <c r="F128" i="25"/>
  <c r="F127" i="25"/>
  <c r="F126" i="25"/>
  <c r="F119" i="25"/>
  <c r="F118" i="25"/>
  <c r="F116" i="25"/>
  <c r="F115" i="25"/>
  <c r="F114" i="25"/>
  <c r="F113" i="25"/>
  <c r="F112" i="25"/>
  <c r="F90" i="25"/>
  <c r="F89" i="25"/>
  <c r="F88" i="25"/>
  <c r="F87" i="25"/>
  <c r="F86" i="25"/>
  <c r="F85" i="25"/>
  <c r="F82" i="25"/>
  <c r="F79" i="25"/>
  <c r="F77" i="25"/>
  <c r="F76" i="25"/>
  <c r="F75" i="25"/>
  <c r="F74" i="25"/>
  <c r="F71" i="25"/>
  <c r="F70" i="25"/>
  <c r="F69" i="25"/>
  <c r="F56" i="25"/>
  <c r="F48" i="25"/>
  <c r="F51" i="25"/>
  <c r="F47" i="25"/>
  <c r="F46" i="25"/>
  <c r="F45" i="25"/>
  <c r="F44" i="25"/>
  <c r="F43" i="25"/>
  <c r="F40" i="25"/>
  <c r="F39" i="25"/>
  <c r="F38" i="25"/>
  <c r="F34" i="25"/>
  <c r="F32" i="25"/>
  <c r="F33" i="25"/>
  <c r="F27" i="25"/>
  <c r="H61" i="15"/>
  <c r="H190" i="15"/>
  <c r="I42" i="15"/>
  <c r="I43" i="15" s="1"/>
  <c r="I48" i="15"/>
  <c r="I53" i="15"/>
  <c r="I54" i="15"/>
  <c r="I55" i="15"/>
  <c r="I56" i="15"/>
  <c r="I61" i="15"/>
  <c r="I113" i="15"/>
  <c r="I114" i="15"/>
  <c r="I115" i="15"/>
  <c r="I117" i="15"/>
  <c r="I118" i="15"/>
  <c r="I116" i="15"/>
  <c r="I213" i="15"/>
  <c r="I232" i="15"/>
  <c r="I233" i="15"/>
  <c r="I243" i="15"/>
  <c r="I244" i="15"/>
  <c r="I245" i="15"/>
  <c r="I246" i="15"/>
  <c r="I268" i="15"/>
  <c r="I270" i="15"/>
  <c r="I273" i="15"/>
  <c r="I280" i="15"/>
  <c r="I284" i="15"/>
  <c r="H50" i="35"/>
  <c r="H49" i="35"/>
  <c r="H48" i="35"/>
  <c r="H47" i="35"/>
  <c r="H46" i="35"/>
  <c r="H45" i="35"/>
  <c r="H44" i="35"/>
  <c r="H43" i="35"/>
  <c r="BB180" i="26"/>
  <c r="BB178" i="26"/>
  <c r="BB177" i="26"/>
  <c r="BC174" i="26"/>
  <c r="BB174" i="26"/>
  <c r="BC173" i="26"/>
  <c r="BB173" i="26"/>
  <c r="BC170" i="26"/>
  <c r="BB170" i="26"/>
  <c r="BC169" i="26"/>
  <c r="BB169" i="26"/>
  <c r="BC168" i="26"/>
  <c r="BB168" i="26"/>
  <c r="BC164" i="26"/>
  <c r="BB164" i="26"/>
  <c r="BC163" i="26"/>
  <c r="BB163" i="26"/>
  <c r="BC160" i="26"/>
  <c r="BB160" i="26"/>
  <c r="BC159" i="26"/>
  <c r="BB159" i="26"/>
  <c r="BC158" i="26"/>
  <c r="BB158" i="26"/>
  <c r="BC157" i="26"/>
  <c r="BB157" i="26"/>
  <c r="BC156" i="26"/>
  <c r="BB156" i="26"/>
  <c r="BC155" i="26"/>
  <c r="BB155" i="26"/>
  <c r="BC154" i="26"/>
  <c r="BB154" i="26"/>
  <c r="BC153" i="26"/>
  <c r="BB153" i="26"/>
  <c r="BC150" i="26"/>
  <c r="BB150" i="26"/>
  <c r="BC130" i="26"/>
  <c r="BC129" i="26"/>
  <c r="BC128" i="26"/>
  <c r="BC127" i="26"/>
  <c r="BC126" i="26"/>
  <c r="BC125" i="26"/>
  <c r="BC124" i="26"/>
  <c r="BC123" i="26"/>
  <c r="BC122" i="26"/>
  <c r="BC121" i="26"/>
  <c r="BC120" i="26"/>
  <c r="BC119" i="26"/>
  <c r="BC118" i="26"/>
  <c r="BC117" i="26"/>
  <c r="BC116" i="26"/>
  <c r="BC115" i="26"/>
  <c r="BC114" i="26"/>
  <c r="BC113" i="26"/>
  <c r="BC112" i="26"/>
  <c r="BC111" i="26"/>
  <c r="BC110" i="26"/>
  <c r="BC109" i="26"/>
  <c r="BC108" i="26"/>
  <c r="BC107" i="26"/>
  <c r="BC106" i="26"/>
  <c r="BC105" i="26"/>
  <c r="BC104" i="26"/>
  <c r="BC103" i="26"/>
  <c r="BC102" i="26"/>
  <c r="BC101" i="26"/>
  <c r="BC100" i="26"/>
  <c r="BC99" i="26"/>
  <c r="BC96" i="26"/>
  <c r="BC95" i="26"/>
  <c r="BC94" i="26"/>
  <c r="BC93" i="26"/>
  <c r="BC92" i="26"/>
  <c r="BC91" i="26"/>
  <c r="BC90" i="26"/>
  <c r="BC89" i="26"/>
  <c r="BC88" i="26"/>
  <c r="BC87" i="26"/>
  <c r="BC86" i="26"/>
  <c r="BC85" i="26"/>
  <c r="BC84" i="26"/>
  <c r="BC83" i="26"/>
  <c r="BC82" i="26"/>
  <c r="BC81" i="26"/>
  <c r="BC38" i="26"/>
  <c r="BC41" i="26"/>
  <c r="BC597" i="14"/>
  <c r="BB597" i="14"/>
  <c r="BC596" i="14"/>
  <c r="BB596" i="14"/>
  <c r="BC561" i="14"/>
  <c r="BB561" i="14"/>
  <c r="BC560" i="14"/>
  <c r="BB560" i="14"/>
  <c r="BC559" i="14"/>
  <c r="BC554" i="14"/>
  <c r="BB554" i="14"/>
  <c r="BC553" i="14"/>
  <c r="BB553" i="14"/>
  <c r="BC552" i="14"/>
  <c r="BB552" i="14"/>
  <c r="BD538" i="14"/>
  <c r="BC533" i="14"/>
  <c r="BB533" i="14"/>
  <c r="BC532" i="14"/>
  <c r="BB532" i="14"/>
  <c r="BC529" i="14"/>
  <c r="BB529" i="14"/>
  <c r="BC528" i="14"/>
  <c r="BB528" i="14"/>
  <c r="BC527" i="14"/>
  <c r="BB527" i="14"/>
  <c r="BC526" i="14"/>
  <c r="BB526" i="14"/>
  <c r="BC525" i="14"/>
  <c r="BB525" i="14"/>
  <c r="BC524" i="14"/>
  <c r="BB524" i="14"/>
  <c r="BC523" i="14"/>
  <c r="BB523" i="14"/>
  <c r="BC522" i="14"/>
  <c r="BB522" i="14"/>
  <c r="BC521" i="14"/>
  <c r="BB521" i="14"/>
  <c r="BC520" i="14"/>
  <c r="BB520" i="14"/>
  <c r="BC519" i="14"/>
  <c r="BB519" i="14"/>
  <c r="BC518" i="14"/>
  <c r="BB518" i="14"/>
  <c r="BC517" i="14"/>
  <c r="BD514" i="14"/>
  <c r="BC514" i="14"/>
  <c r="BD513" i="14"/>
  <c r="BC513" i="14"/>
  <c r="BD512" i="14"/>
  <c r="BC512" i="14"/>
  <c r="BB512" i="14"/>
  <c r="BD509" i="14"/>
  <c r="BD508" i="14"/>
  <c r="BC504" i="14"/>
  <c r="BC430" i="14"/>
  <c r="BC429" i="14"/>
  <c r="BC428" i="14"/>
  <c r="BC427" i="14"/>
  <c r="BC426" i="14"/>
  <c r="BC425" i="14"/>
  <c r="BC424" i="14"/>
  <c r="BC423" i="14"/>
  <c r="BC422" i="14"/>
  <c r="BC421" i="14"/>
  <c r="BC420" i="14"/>
  <c r="BC419" i="14"/>
  <c r="BC418" i="14"/>
  <c r="BC417" i="14"/>
  <c r="BC416" i="14"/>
  <c r="BC415" i="14"/>
  <c r="BC414" i="14"/>
  <c r="BC413" i="14"/>
  <c r="BC412" i="14"/>
  <c r="BC411" i="14"/>
  <c r="BC410" i="14"/>
  <c r="BC409" i="14"/>
  <c r="BC408" i="14"/>
  <c r="BC407" i="14"/>
  <c r="BC406" i="14"/>
  <c r="BC405" i="14"/>
  <c r="BC404" i="14"/>
  <c r="BC403" i="14"/>
  <c r="BC402" i="14"/>
  <c r="BC401" i="14"/>
  <c r="BC400" i="14"/>
  <c r="BC399" i="14"/>
  <c r="BC398" i="14"/>
  <c r="BC397" i="14"/>
  <c r="BC396" i="14"/>
  <c r="BC395" i="14"/>
  <c r="BC394" i="14"/>
  <c r="BC393" i="14"/>
  <c r="BC392" i="14"/>
  <c r="BC391" i="14"/>
  <c r="BC390" i="14"/>
  <c r="BC389" i="14"/>
  <c r="BC388" i="14"/>
  <c r="BC387" i="14"/>
  <c r="BC386" i="14"/>
  <c r="BC385" i="14"/>
  <c r="BC384" i="14"/>
  <c r="BC383" i="14"/>
  <c r="BC382" i="14"/>
  <c r="BC381" i="14"/>
  <c r="BC380" i="14"/>
  <c r="BC379" i="14"/>
  <c r="BC378" i="14"/>
  <c r="BC377" i="14"/>
  <c r="BC376" i="14"/>
  <c r="BC375" i="14"/>
  <c r="BC374" i="14"/>
  <c r="BC373" i="14"/>
  <c r="BC372" i="14"/>
  <c r="BC371" i="14"/>
  <c r="BC370" i="14"/>
  <c r="BC369" i="14"/>
  <c r="BC368" i="14"/>
  <c r="BC367" i="14"/>
  <c r="BC366" i="14"/>
  <c r="BC365" i="14"/>
  <c r="BC364" i="14"/>
  <c r="BC363" i="14"/>
  <c r="BC362" i="14"/>
  <c r="BC361" i="14"/>
  <c r="BC360" i="14"/>
  <c r="BC359" i="14"/>
  <c r="BC358" i="14"/>
  <c r="BC357" i="14"/>
  <c r="BC356" i="14"/>
  <c r="BC355" i="14"/>
  <c r="BC354" i="14"/>
  <c r="BC353" i="14"/>
  <c r="BC352" i="14"/>
  <c r="BC351" i="14"/>
  <c r="BC350" i="14"/>
  <c r="BC349" i="14"/>
  <c r="BC348" i="14"/>
  <c r="BC347" i="14"/>
  <c r="BC346" i="14"/>
  <c r="BC345" i="14"/>
  <c r="BC344" i="14"/>
  <c r="BC343" i="14"/>
  <c r="BC342" i="14"/>
  <c r="BC341" i="14"/>
  <c r="BC340" i="14"/>
  <c r="BC339" i="14"/>
  <c r="BC338" i="14"/>
  <c r="BC337" i="14"/>
  <c r="BC336" i="14"/>
  <c r="BC335" i="14"/>
  <c r="BC334" i="14"/>
  <c r="BC333" i="14"/>
  <c r="BC332" i="14"/>
  <c r="BC331" i="14"/>
  <c r="BC330" i="14"/>
  <c r="BC329" i="14"/>
  <c r="BC328" i="14"/>
  <c r="BC327" i="14"/>
  <c r="BC326" i="14"/>
  <c r="BC325" i="14"/>
  <c r="BC324" i="14"/>
  <c r="BC323" i="14"/>
  <c r="BC322" i="14"/>
  <c r="BC321" i="14"/>
  <c r="BC320" i="14"/>
  <c r="BC319" i="14"/>
  <c r="BC318" i="14"/>
  <c r="BC317" i="14"/>
  <c r="BC316" i="14"/>
  <c r="BC315" i="14"/>
  <c r="BC314" i="14"/>
  <c r="BC313" i="14"/>
  <c r="BC312" i="14"/>
  <c r="BC311" i="14"/>
  <c r="BC310" i="14"/>
  <c r="BC309" i="14"/>
  <c r="BC308" i="14"/>
  <c r="BC307" i="14"/>
  <c r="BC306" i="14"/>
  <c r="BC305" i="14"/>
  <c r="BC304" i="14"/>
  <c r="BC303" i="14"/>
  <c r="BC302" i="14"/>
  <c r="BC301" i="14"/>
  <c r="BC300" i="14"/>
  <c r="BC299" i="14"/>
  <c r="BC298" i="14"/>
  <c r="BC297" i="14"/>
  <c r="BC296" i="14"/>
  <c r="BC295" i="14"/>
  <c r="BC294" i="14"/>
  <c r="BC293" i="14"/>
  <c r="BC292" i="14"/>
  <c r="BC291" i="14"/>
  <c r="BC290" i="14"/>
  <c r="BC289" i="14"/>
  <c r="BC288" i="14"/>
  <c r="BC287" i="14"/>
  <c r="BC286" i="14"/>
  <c r="BC285" i="14"/>
  <c r="BC284" i="14"/>
  <c r="BC283" i="14"/>
  <c r="BC282" i="14"/>
  <c r="BC281" i="14"/>
  <c r="BC280" i="14"/>
  <c r="BC279" i="14"/>
  <c r="BC278" i="14"/>
  <c r="BC277" i="14"/>
  <c r="BC276" i="14"/>
  <c r="BC275" i="14"/>
  <c r="BC274" i="14"/>
  <c r="BC273" i="14"/>
  <c r="BC272" i="14"/>
  <c r="BC271" i="14"/>
  <c r="BC270" i="14"/>
  <c r="BC269" i="14"/>
  <c r="BC268" i="14"/>
  <c r="BC267" i="14"/>
  <c r="BC266" i="14"/>
  <c r="BC265" i="14"/>
  <c r="BC264" i="14"/>
  <c r="BC263" i="14"/>
  <c r="BC262" i="14"/>
  <c r="BC261" i="14"/>
  <c r="BC260" i="14"/>
  <c r="BC259" i="14"/>
  <c r="BC258" i="14"/>
  <c r="BC257" i="14"/>
  <c r="BC256" i="14"/>
  <c r="BC255" i="14"/>
  <c r="BC254" i="14"/>
  <c r="BC253" i="14"/>
  <c r="BC252" i="14"/>
  <c r="BC251" i="14"/>
  <c r="BC250" i="14"/>
  <c r="BC249" i="14"/>
  <c r="BC248" i="14"/>
  <c r="BC247" i="14"/>
  <c r="BC246" i="14"/>
  <c r="BC245" i="14"/>
  <c r="BC244" i="14"/>
  <c r="BC243" i="14"/>
  <c r="BC242" i="14"/>
  <c r="BC241" i="14"/>
  <c r="BC240" i="14"/>
  <c r="BC239" i="14"/>
  <c r="BC238" i="14"/>
  <c r="BC237" i="14"/>
  <c r="BC236" i="14"/>
  <c r="BC235" i="14"/>
  <c r="BC234" i="14"/>
  <c r="BC233" i="14"/>
  <c r="BC232" i="14"/>
  <c r="BC231" i="14"/>
  <c r="BC230" i="14"/>
  <c r="BC229" i="14"/>
  <c r="BC228" i="14"/>
  <c r="BC227" i="14"/>
  <c r="BC226" i="14"/>
  <c r="BC225" i="14"/>
  <c r="BC224" i="14"/>
  <c r="BC223" i="14"/>
  <c r="BC222" i="14"/>
  <c r="BC221" i="14"/>
  <c r="BC220" i="14"/>
  <c r="BC219" i="14"/>
  <c r="BC218" i="14"/>
  <c r="BC217" i="14"/>
  <c r="BC216" i="14"/>
  <c r="BC215" i="14"/>
  <c r="BC214" i="14"/>
  <c r="BC213" i="14"/>
  <c r="BC212" i="14"/>
  <c r="BC211" i="14"/>
  <c r="BC210" i="14"/>
  <c r="BC209" i="14"/>
  <c r="BC208" i="14"/>
  <c r="BC207" i="14"/>
  <c r="BC206" i="14"/>
  <c r="BC205" i="14"/>
  <c r="BC204" i="14"/>
  <c r="BC203" i="14"/>
  <c r="BC202" i="14"/>
  <c r="BC201" i="14"/>
  <c r="BC200" i="14"/>
  <c r="BC199" i="14"/>
  <c r="BC198" i="14"/>
  <c r="BC197" i="14"/>
  <c r="BC196" i="14"/>
  <c r="BC195" i="14"/>
  <c r="BC194" i="14"/>
  <c r="BC193" i="14"/>
  <c r="BC192" i="14"/>
  <c r="BC191" i="14"/>
  <c r="BC190" i="14"/>
  <c r="BC189" i="14"/>
  <c r="BC188" i="14"/>
  <c r="BC187" i="14"/>
  <c r="BC186" i="14"/>
  <c r="BC185" i="14"/>
  <c r="BC184" i="14"/>
  <c r="BC183" i="14"/>
  <c r="BC182" i="14"/>
  <c r="BC181" i="14"/>
  <c r="BC180" i="14"/>
  <c r="BC179" i="14"/>
  <c r="BC178" i="14"/>
  <c r="BC177" i="14"/>
  <c r="BC176" i="14"/>
  <c r="BC175" i="14"/>
  <c r="BC174" i="14"/>
  <c r="BC173" i="14"/>
  <c r="BC170" i="14"/>
  <c r="BC169" i="14"/>
  <c r="BC168" i="14"/>
  <c r="BC167" i="14"/>
  <c r="BC166" i="14"/>
  <c r="BC165" i="14"/>
  <c r="BC164" i="14"/>
  <c r="BC163" i="14"/>
  <c r="BC162" i="14"/>
  <c r="BC161" i="14"/>
  <c r="BC160" i="14"/>
  <c r="BC159" i="14"/>
  <c r="BC158" i="14"/>
  <c r="BC157" i="14"/>
  <c r="BC156" i="14"/>
  <c r="BC155" i="14"/>
  <c r="BC154" i="14"/>
  <c r="BC153" i="14"/>
  <c r="BC152" i="14"/>
  <c r="BC151" i="14"/>
  <c r="BC150" i="14"/>
  <c r="BC149" i="14"/>
  <c r="BC148" i="14"/>
  <c r="BC147" i="14"/>
  <c r="BC146" i="14"/>
  <c r="BC145" i="14"/>
  <c r="BC144" i="14"/>
  <c r="BC143" i="14"/>
  <c r="BC142" i="14"/>
  <c r="BC141" i="14"/>
  <c r="BC140" i="14"/>
  <c r="BC139" i="14"/>
  <c r="BC138" i="14"/>
  <c r="BC137" i="14"/>
  <c r="BC136" i="14"/>
  <c r="BC135" i="14"/>
  <c r="BC134" i="14"/>
  <c r="BC133" i="14"/>
  <c r="BC132" i="14"/>
  <c r="BC131" i="14"/>
  <c r="BC130" i="14"/>
  <c r="BC129" i="14"/>
  <c r="BC128" i="14"/>
  <c r="BB21" i="12" l="1"/>
  <c r="G21" i="12"/>
  <c r="AU255" i="15"/>
  <c r="AU254" i="15"/>
  <c r="G260" i="15"/>
  <c r="G258" i="15"/>
  <c r="G257" i="15"/>
  <c r="G256" i="15"/>
  <c r="G255" i="15"/>
  <c r="G254" i="15"/>
  <c r="G251" i="15"/>
  <c r="AY250" i="15"/>
  <c r="AX250" i="15"/>
  <c r="AW250" i="15"/>
  <c r="AV250" i="15"/>
  <c r="AU250" i="15"/>
  <c r="AY249" i="15"/>
  <c r="AY256" i="15" s="1"/>
  <c r="AX249" i="15"/>
  <c r="AW249" i="15"/>
  <c r="AV249" i="15"/>
  <c r="AU249" i="15"/>
  <c r="AX251" i="15"/>
  <c r="AW251" i="15"/>
  <c r="AV251" i="15"/>
  <c r="AU251" i="15"/>
  <c r="BC49" i="14"/>
  <c r="BB49" i="14"/>
  <c r="G49" i="14"/>
  <c r="AU257" i="15" l="1"/>
  <c r="AX256" i="15"/>
  <c r="AV256" i="15"/>
  <c r="AW256" i="15"/>
  <c r="AU256" i="15"/>
  <c r="AU260" i="15" l="1"/>
  <c r="AU21" i="12" s="1"/>
  <c r="AU258" i="15"/>
  <c r="AV254" i="15" s="1"/>
  <c r="BC57" i="26" l="1"/>
  <c r="BB57" i="26"/>
  <c r="BC56" i="26"/>
  <c r="BB56" i="26"/>
  <c r="BC52" i="26"/>
  <c r="BB52" i="26"/>
  <c r="BC55" i="26"/>
  <c r="BB55" i="26"/>
  <c r="BC51" i="26"/>
  <c r="BB51" i="26"/>
  <c r="BC77" i="14"/>
  <c r="BB77" i="14"/>
  <c r="BC76" i="14"/>
  <c r="BB76" i="14"/>
  <c r="BC72" i="14"/>
  <c r="BB72" i="14"/>
  <c r="BC75" i="14"/>
  <c r="BB75" i="14"/>
  <c r="BC71" i="14"/>
  <c r="BB71" i="14"/>
  <c r="BC70" i="14"/>
  <c r="BB70" i="14"/>
  <c r="BC99" i="27" l="1"/>
  <c r="BB99" i="27"/>
  <c r="BC100" i="27"/>
  <c r="BB100" i="27"/>
  <c r="BC41" i="8"/>
  <c r="BB41" i="8"/>
  <c r="BB8" i="25"/>
  <c r="BB7" i="25"/>
  <c r="BC280" i="15"/>
  <c r="BB280" i="15"/>
  <c r="BC266" i="15"/>
  <c r="BB266" i="15"/>
  <c r="BB246" i="15"/>
  <c r="BB245" i="15"/>
  <c r="BB244" i="15"/>
  <c r="BB243" i="15"/>
  <c r="BB42" i="15"/>
  <c r="BC188" i="26"/>
  <c r="BB188" i="26"/>
  <c r="BC187" i="26"/>
  <c r="BB187" i="26"/>
  <c r="BD469" i="14"/>
  <c r="BC469" i="14"/>
  <c r="BB469" i="14"/>
  <c r="BC567" i="14"/>
  <c r="BB567" i="14"/>
  <c r="BC566" i="14"/>
  <c r="BB566" i="14"/>
  <c r="BC565" i="14"/>
  <c r="BB565" i="14"/>
  <c r="BC564" i="14"/>
  <c r="BB564" i="14"/>
  <c r="G49" i="34" l="1"/>
  <c r="G48" i="34"/>
  <c r="G47" i="34"/>
  <c r="G39" i="34"/>
  <c r="G37" i="34"/>
  <c r="G36" i="34"/>
  <c r="G49" i="33"/>
  <c r="G48" i="33"/>
  <c r="G47" i="33"/>
  <c r="G15" i="33"/>
  <c r="G39" i="33"/>
  <c r="G37" i="33"/>
  <c r="G36" i="33"/>
  <c r="G68" i="38"/>
  <c r="G67" i="38"/>
  <c r="G66" i="38"/>
  <c r="G64" i="38"/>
  <c r="G63" i="38"/>
  <c r="G62" i="38"/>
  <c r="G58" i="38"/>
  <c r="G54" i="38"/>
  <c r="G51" i="38"/>
  <c r="G49" i="38"/>
  <c r="G48" i="38"/>
  <c r="G43" i="38"/>
  <c r="G41" i="38"/>
  <c r="G40" i="38"/>
  <c r="G34" i="38"/>
  <c r="G32" i="38"/>
  <c r="G30" i="38"/>
  <c r="G28" i="38"/>
  <c r="G25" i="38"/>
  <c r="G24" i="38"/>
  <c r="G8" i="38"/>
  <c r="BB50" i="8"/>
  <c r="G50" i="8"/>
  <c r="G12" i="38"/>
  <c r="G10" i="38"/>
  <c r="G9" i="38"/>
  <c r="G291" i="27"/>
  <c r="G289" i="27"/>
  <c r="G288" i="27"/>
  <c r="G287" i="27"/>
  <c r="G286" i="27"/>
  <c r="G273" i="27"/>
  <c r="G272" i="27"/>
  <c r="G47" i="11"/>
  <c r="G46" i="11"/>
  <c r="G44" i="11"/>
  <c r="G37" i="2"/>
  <c r="G500" i="14"/>
  <c r="G499" i="14"/>
  <c r="G498" i="14"/>
  <c r="G497" i="14"/>
  <c r="G496" i="14"/>
  <c r="G495" i="14"/>
  <c r="G494" i="14"/>
  <c r="G493" i="14"/>
  <c r="G492" i="14"/>
  <c r="G491" i="14"/>
  <c r="G490" i="14"/>
  <c r="G489" i="14"/>
  <c r="G488" i="14"/>
  <c r="G487" i="14"/>
  <c r="G485" i="14"/>
  <c r="G484" i="14"/>
  <c r="G483" i="14"/>
  <c r="G482" i="14"/>
  <c r="G481" i="14"/>
  <c r="G480" i="14"/>
  <c r="G479" i="14"/>
  <c r="G478" i="14"/>
  <c r="G477" i="14"/>
  <c r="G476" i="14"/>
  <c r="G475" i="14"/>
  <c r="G474" i="14"/>
  <c r="G473" i="14"/>
  <c r="G472" i="14"/>
  <c r="G118" i="14" l="1"/>
  <c r="G117" i="14"/>
  <c r="G116" i="14"/>
  <c r="G115" i="14"/>
  <c r="G114" i="14"/>
  <c r="G113" i="14"/>
  <c r="G112" i="14"/>
  <c r="G111" i="14"/>
  <c r="G110" i="14"/>
  <c r="G109" i="14"/>
  <c r="G108" i="14"/>
  <c r="G107" i="14"/>
  <c r="G106" i="14"/>
  <c r="G100" i="27" l="1"/>
  <c r="G99" i="27"/>
  <c r="G90" i="27"/>
  <c r="AY35" i="40" l="1" a="1"/>
  <c r="AY35" i="40" s="1"/>
  <c r="AX35" i="40" a="1"/>
  <c r="AX35" i="40" s="1"/>
  <c r="AW35" i="40" a="1"/>
  <c r="AW35" i="40" s="1"/>
  <c r="AV35" i="40" a="1"/>
  <c r="AV35" i="40" s="1"/>
  <c r="AU35" i="40" a="1"/>
  <c r="AU35" i="40" s="1"/>
  <c r="AT35" i="40" a="1"/>
  <c r="AT35" i="40" s="1"/>
  <c r="AS35" i="40" a="1"/>
  <c r="AS35" i="40" s="1"/>
  <c r="AR35" i="40" a="1"/>
  <c r="AR35" i="40" s="1"/>
  <c r="AQ35" i="40" a="1"/>
  <c r="AQ35" i="40" s="1"/>
  <c r="AP35" i="40" a="1"/>
  <c r="AP35" i="40" s="1"/>
  <c r="AO35" i="40" a="1"/>
  <c r="AO35" i="40" s="1"/>
  <c r="AN35" i="40" a="1"/>
  <c r="AN35" i="40" s="1"/>
  <c r="AM35" i="40" a="1"/>
  <c r="AM35" i="40" s="1"/>
  <c r="AL35" i="40" a="1"/>
  <c r="AL35" i="40" s="1"/>
  <c r="AK35" i="40" a="1"/>
  <c r="AK35" i="40" s="1"/>
  <c r="AJ35" i="40" a="1"/>
  <c r="AJ35" i="40" s="1"/>
  <c r="AI35" i="40" a="1"/>
  <c r="AI35" i="40" s="1"/>
  <c r="AH35" i="40" a="1"/>
  <c r="AH35" i="40" s="1"/>
  <c r="AG35" i="40" a="1"/>
  <c r="AG35" i="40" s="1"/>
  <c r="AF35" i="40" a="1"/>
  <c r="AF35" i="40" s="1"/>
  <c r="AE35" i="40" a="1"/>
  <c r="AE35" i="40" s="1"/>
  <c r="AD35" i="40" a="1"/>
  <c r="AD35" i="40" s="1"/>
  <c r="AC35" i="40" a="1"/>
  <c r="AC35" i="40" s="1"/>
  <c r="AB35" i="40" a="1"/>
  <c r="AB35" i="40" s="1"/>
  <c r="AA35" i="40" a="1"/>
  <c r="AA35" i="40" s="1"/>
  <c r="Z35" i="40" a="1"/>
  <c r="Z35" i="40" s="1"/>
  <c r="Y35" i="40" a="1"/>
  <c r="Y35" i="40" s="1"/>
  <c r="X35" i="40" a="1"/>
  <c r="X35" i="40" s="1"/>
  <c r="W35" i="40" a="1"/>
  <c r="W35" i="40" s="1"/>
  <c r="V35" i="40" a="1"/>
  <c r="V35" i="40" s="1"/>
  <c r="U35" i="40" a="1"/>
  <c r="U35" i="40" s="1"/>
  <c r="T35" i="40" a="1"/>
  <c r="T35" i="40" s="1"/>
  <c r="S35" i="40" a="1"/>
  <c r="S35" i="40" s="1"/>
  <c r="R35" i="40" a="1"/>
  <c r="R35" i="40" s="1"/>
  <c r="Q35" i="40" a="1"/>
  <c r="Q35" i="40" s="1"/>
  <c r="P35" i="40" a="1"/>
  <c r="P35" i="40" s="1"/>
  <c r="O35" i="40" a="1"/>
  <c r="O35" i="40" s="1"/>
  <c r="N35" i="40" a="1"/>
  <c r="N35" i="40" s="1"/>
  <c r="M35" i="40" a="1"/>
  <c r="M35" i="40" s="1"/>
  <c r="L35" i="40" a="1"/>
  <c r="L35" i="40" s="1"/>
  <c r="K35" i="40" a="1"/>
  <c r="K35" i="40" s="1"/>
  <c r="I35" i="40" a="1"/>
  <c r="I35" i="40" s="1"/>
  <c r="AY34" i="40" a="1"/>
  <c r="AY34" i="40" s="1"/>
  <c r="AX34" i="40" a="1"/>
  <c r="AX34" i="40" s="1"/>
  <c r="AW34" i="40" a="1"/>
  <c r="AW34" i="40" s="1"/>
  <c r="AV34" i="40" a="1"/>
  <c r="AV34" i="40" s="1"/>
  <c r="AU34" i="40" a="1"/>
  <c r="AU34" i="40" s="1"/>
  <c r="AT34" i="40" a="1"/>
  <c r="AT34" i="40" s="1"/>
  <c r="AS34" i="40" a="1"/>
  <c r="AS34" i="40" s="1"/>
  <c r="AR34" i="40" a="1"/>
  <c r="AR34" i="40" s="1"/>
  <c r="AQ34" i="40" a="1"/>
  <c r="AQ34" i="40" s="1"/>
  <c r="AP34" i="40" a="1"/>
  <c r="AP34" i="40" s="1"/>
  <c r="AO34" i="40" a="1"/>
  <c r="AO34" i="40" s="1"/>
  <c r="AN34" i="40" a="1"/>
  <c r="AN34" i="40" s="1"/>
  <c r="AM34" i="40" a="1"/>
  <c r="AM34" i="40" s="1"/>
  <c r="AL34" i="40" a="1"/>
  <c r="AL34" i="40" s="1"/>
  <c r="AK34" i="40" a="1"/>
  <c r="AK34" i="40" s="1"/>
  <c r="AJ34" i="40" a="1"/>
  <c r="AJ34" i="40" s="1"/>
  <c r="AI34" i="40" a="1"/>
  <c r="AI34" i="40" s="1"/>
  <c r="AH34" i="40" a="1"/>
  <c r="AH34" i="40" s="1"/>
  <c r="AG34" i="40" a="1"/>
  <c r="AG34" i="40" s="1"/>
  <c r="AF34" i="40" a="1"/>
  <c r="AF34" i="40" s="1"/>
  <c r="AE34" i="40" a="1"/>
  <c r="AE34" i="40" s="1"/>
  <c r="AD34" i="40" a="1"/>
  <c r="AD34" i="40" s="1"/>
  <c r="AC34" i="40" a="1"/>
  <c r="AC34" i="40" s="1"/>
  <c r="AB34" i="40" a="1"/>
  <c r="AB34" i="40" s="1"/>
  <c r="AA34" i="40" a="1"/>
  <c r="AA34" i="40" s="1"/>
  <c r="Z34" i="40" a="1"/>
  <c r="Z34" i="40" s="1"/>
  <c r="Y34" i="40" a="1"/>
  <c r="Y34" i="40" s="1"/>
  <c r="X34" i="40" a="1"/>
  <c r="X34" i="40" s="1"/>
  <c r="W34" i="40" a="1"/>
  <c r="W34" i="40" s="1"/>
  <c r="V34" i="40" a="1"/>
  <c r="V34" i="40" s="1"/>
  <c r="U34" i="40" a="1"/>
  <c r="U34" i="40" s="1"/>
  <c r="T34" i="40" a="1"/>
  <c r="T34" i="40" s="1"/>
  <c r="S34" i="40" a="1"/>
  <c r="S34" i="40" s="1"/>
  <c r="R34" i="40" a="1"/>
  <c r="R34" i="40" s="1"/>
  <c r="Q34" i="40" a="1"/>
  <c r="Q34" i="40" s="1"/>
  <c r="P34" i="40" a="1"/>
  <c r="P34" i="40" s="1"/>
  <c r="O34" i="40" a="1"/>
  <c r="O34" i="40" s="1"/>
  <c r="N34" i="40" a="1"/>
  <c r="N34" i="40" s="1"/>
  <c r="M34" i="40" a="1"/>
  <c r="M34" i="40" s="1"/>
  <c r="L34" i="40" a="1"/>
  <c r="L34" i="40" s="1"/>
  <c r="K34" i="40" a="1"/>
  <c r="K34" i="40" s="1"/>
  <c r="I34" i="40" a="1"/>
  <c r="I34" i="40" s="1"/>
  <c r="AS54" i="40" a="1"/>
  <c r="AS54" i="40" s="1"/>
  <c r="AR54" i="40" a="1"/>
  <c r="AR54" i="40" s="1"/>
  <c r="AQ54" i="40" a="1"/>
  <c r="AQ54" i="40" s="1"/>
  <c r="AP54" i="40" a="1"/>
  <c r="AP54" i="40" s="1"/>
  <c r="AO54" i="40" a="1"/>
  <c r="AO54" i="40" s="1"/>
  <c r="AN54" i="40" a="1"/>
  <c r="AN54" i="40" s="1"/>
  <c r="AM54" i="40" a="1"/>
  <c r="AM54" i="40" s="1"/>
  <c r="AL54" i="40" a="1"/>
  <c r="AL54" i="40" s="1"/>
  <c r="AK54" i="40" a="1"/>
  <c r="AK54" i="40" s="1"/>
  <c r="AJ54" i="40" a="1"/>
  <c r="AJ54" i="40" s="1"/>
  <c r="AI54" i="40" a="1"/>
  <c r="AI54" i="40" s="1"/>
  <c r="AH54" i="40" a="1"/>
  <c r="AH54" i="40" s="1"/>
  <c r="AG54" i="40" a="1"/>
  <c r="AG54" i="40" s="1"/>
  <c r="AF54" i="40" a="1"/>
  <c r="AF54" i="40" s="1"/>
  <c r="AE54" i="40" a="1"/>
  <c r="AE54" i="40" s="1"/>
  <c r="AD54" i="40" a="1"/>
  <c r="AD54" i="40" s="1"/>
  <c r="AC54" i="40" a="1"/>
  <c r="AC54" i="40" s="1"/>
  <c r="AB54" i="40" a="1"/>
  <c r="AB54" i="40" s="1"/>
  <c r="AA54" i="40" a="1"/>
  <c r="AA54" i="40" s="1"/>
  <c r="Z54" i="40" a="1"/>
  <c r="Z54" i="40" s="1"/>
  <c r="Y54" i="40" a="1"/>
  <c r="Y54" i="40" s="1"/>
  <c r="X54" i="40" a="1"/>
  <c r="X54" i="40" s="1"/>
  <c r="W54" i="40" a="1"/>
  <c r="W54" i="40" s="1"/>
  <c r="V54" i="40" a="1"/>
  <c r="V54" i="40" s="1"/>
  <c r="U54" i="40" a="1"/>
  <c r="U54" i="40" s="1"/>
  <c r="T54" i="40" a="1"/>
  <c r="T54" i="40" s="1"/>
  <c r="S54" i="40" a="1"/>
  <c r="S54" i="40" s="1"/>
  <c r="R54" i="40" a="1"/>
  <c r="R54" i="40" s="1"/>
  <c r="Q54" i="40" a="1"/>
  <c r="Q54" i="40" s="1"/>
  <c r="P54" i="40" a="1"/>
  <c r="P54" i="40" s="1"/>
  <c r="O54" i="40" a="1"/>
  <c r="O54" i="40" s="1"/>
  <c r="N54" i="40" a="1"/>
  <c r="N54" i="40" s="1"/>
  <c r="M54" i="40" a="1"/>
  <c r="M54" i="40" s="1"/>
  <c r="L54" i="40" a="1"/>
  <c r="L54" i="40" s="1"/>
  <c r="K54" i="40" a="1"/>
  <c r="K54" i="40" s="1"/>
  <c r="AS53" i="40" a="1"/>
  <c r="AS53" i="40" s="1"/>
  <c r="AR53" i="40" a="1"/>
  <c r="AR53" i="40" s="1"/>
  <c r="AQ53" i="40" a="1"/>
  <c r="AQ53" i="40" s="1"/>
  <c r="AP53" i="40" a="1"/>
  <c r="AP53" i="40" s="1"/>
  <c r="AO53" i="40" a="1"/>
  <c r="AO53" i="40" s="1"/>
  <c r="AN53" i="40" a="1"/>
  <c r="AN53" i="40" s="1"/>
  <c r="AM53" i="40" a="1"/>
  <c r="AM53" i="40" s="1"/>
  <c r="AL53" i="40" a="1"/>
  <c r="AL53" i="40" s="1"/>
  <c r="AK53" i="40" a="1"/>
  <c r="AK53" i="40" s="1"/>
  <c r="AJ53" i="40" a="1"/>
  <c r="AJ53" i="40" s="1"/>
  <c r="AI53" i="40" a="1"/>
  <c r="AI53" i="40" s="1"/>
  <c r="AH53" i="40" a="1"/>
  <c r="AH53" i="40" s="1"/>
  <c r="AG53" i="40" a="1"/>
  <c r="AG53" i="40" s="1"/>
  <c r="AF53" i="40" a="1"/>
  <c r="AF53" i="40" s="1"/>
  <c r="AE53" i="40" a="1"/>
  <c r="AE53" i="40" s="1"/>
  <c r="AD53" i="40" a="1"/>
  <c r="AD53" i="40" s="1"/>
  <c r="AC53" i="40" a="1"/>
  <c r="AC53" i="40" s="1"/>
  <c r="AB53" i="40" a="1"/>
  <c r="AB53" i="40" s="1"/>
  <c r="AA53" i="40" a="1"/>
  <c r="AA53" i="40" s="1"/>
  <c r="Z53" i="40" a="1"/>
  <c r="Z53" i="40" s="1"/>
  <c r="Y53" i="40" a="1"/>
  <c r="Y53" i="40" s="1"/>
  <c r="X53" i="40" a="1"/>
  <c r="X53" i="40" s="1"/>
  <c r="W53" i="40" a="1"/>
  <c r="W53" i="40" s="1"/>
  <c r="V53" i="40" a="1"/>
  <c r="V53" i="40" s="1"/>
  <c r="U53" i="40" a="1"/>
  <c r="U53" i="40" s="1"/>
  <c r="T53" i="40" a="1"/>
  <c r="T53" i="40" s="1"/>
  <c r="S53" i="40" a="1"/>
  <c r="S53" i="40" s="1"/>
  <c r="R53" i="40" a="1"/>
  <c r="R53" i="40" s="1"/>
  <c r="Q53" i="40" a="1"/>
  <c r="Q53" i="40" s="1"/>
  <c r="P53" i="40" a="1"/>
  <c r="P53" i="40" s="1"/>
  <c r="O53" i="40" a="1"/>
  <c r="O53" i="40" s="1"/>
  <c r="N53" i="40" a="1"/>
  <c r="N53" i="40" s="1"/>
  <c r="M53" i="40" a="1"/>
  <c r="M53" i="40" s="1"/>
  <c r="L53" i="40" a="1"/>
  <c r="L53" i="40" s="1"/>
  <c r="K53" i="40" a="1"/>
  <c r="K53" i="40" s="1"/>
  <c r="AT52" i="40" a="1"/>
  <c r="AT52" i="40" s="1"/>
  <c r="AS52" i="40" a="1"/>
  <c r="AS52" i="40" s="1"/>
  <c r="AR52" i="40" a="1"/>
  <c r="AR52" i="40" s="1"/>
  <c r="AQ52" i="40" a="1"/>
  <c r="AQ52" i="40" s="1"/>
  <c r="AP52" i="40" a="1"/>
  <c r="AP52" i="40" s="1"/>
  <c r="AO52" i="40" a="1"/>
  <c r="AO52" i="40" s="1"/>
  <c r="AN52" i="40" a="1"/>
  <c r="AN52" i="40" s="1"/>
  <c r="AM52" i="40" a="1"/>
  <c r="AM52" i="40" s="1"/>
  <c r="AL52" i="40" a="1"/>
  <c r="AL52" i="40" s="1"/>
  <c r="AK52" i="40" a="1"/>
  <c r="AK52" i="40" s="1"/>
  <c r="AJ52" i="40" a="1"/>
  <c r="AJ52" i="40" s="1"/>
  <c r="AI52" i="40" a="1"/>
  <c r="AI52" i="40" s="1"/>
  <c r="AH52" i="40" a="1"/>
  <c r="AH52" i="40" s="1"/>
  <c r="AG52" i="40" a="1"/>
  <c r="AG52" i="40" s="1"/>
  <c r="AF52" i="40" a="1"/>
  <c r="AF52" i="40" s="1"/>
  <c r="AE52" i="40" a="1"/>
  <c r="AE52" i="40" s="1"/>
  <c r="AD52" i="40" a="1"/>
  <c r="AD52" i="40" s="1"/>
  <c r="AC52" i="40" a="1"/>
  <c r="AC52" i="40" s="1"/>
  <c r="AB52" i="40" a="1"/>
  <c r="AB52" i="40" s="1"/>
  <c r="AA52" i="40" a="1"/>
  <c r="AA52" i="40" s="1"/>
  <c r="Z52" i="40" a="1"/>
  <c r="Z52" i="40" s="1"/>
  <c r="Y52" i="40" a="1"/>
  <c r="Y52" i="40" s="1"/>
  <c r="X52" i="40" a="1"/>
  <c r="X52" i="40" s="1"/>
  <c r="W52" i="40" a="1"/>
  <c r="W52" i="40" s="1"/>
  <c r="V52" i="40" a="1"/>
  <c r="V52" i="40" s="1"/>
  <c r="U52" i="40" a="1"/>
  <c r="U52" i="40" s="1"/>
  <c r="T52" i="40" a="1"/>
  <c r="T52" i="40" s="1"/>
  <c r="S52" i="40" a="1"/>
  <c r="S52" i="40" s="1"/>
  <c r="R52" i="40" a="1"/>
  <c r="R52" i="40" s="1"/>
  <c r="Q52" i="40" a="1"/>
  <c r="Q52" i="40" s="1"/>
  <c r="P52" i="40" a="1"/>
  <c r="P52" i="40" s="1"/>
  <c r="O52" i="40" a="1"/>
  <c r="O52" i="40" s="1"/>
  <c r="N52" i="40" a="1"/>
  <c r="N52" i="40" s="1"/>
  <c r="M52" i="40" a="1"/>
  <c r="M52" i="40" s="1"/>
  <c r="L52" i="40" a="1"/>
  <c r="L52" i="40" s="1"/>
  <c r="K52" i="40" a="1"/>
  <c r="K52" i="40" s="1"/>
  <c r="AT51" i="40" a="1"/>
  <c r="AT51" i="40" s="1"/>
  <c r="AS51" i="40" a="1"/>
  <c r="AS51" i="40" s="1"/>
  <c r="AR51" i="40" a="1"/>
  <c r="AR51" i="40" s="1"/>
  <c r="AQ51" i="40" a="1"/>
  <c r="AQ51" i="40" s="1"/>
  <c r="AP51" i="40" a="1"/>
  <c r="AP51" i="40" s="1"/>
  <c r="AO51" i="40" a="1"/>
  <c r="AO51" i="40" s="1"/>
  <c r="AN51" i="40" a="1"/>
  <c r="AN51" i="40" s="1"/>
  <c r="AM51" i="40" a="1"/>
  <c r="AM51" i="40" s="1"/>
  <c r="AL51" i="40" a="1"/>
  <c r="AL51" i="40" s="1"/>
  <c r="AK51" i="40" a="1"/>
  <c r="AK51" i="40" s="1"/>
  <c r="AJ51" i="40" a="1"/>
  <c r="AJ51" i="40" s="1"/>
  <c r="AI51" i="40" a="1"/>
  <c r="AI51" i="40" s="1"/>
  <c r="AH51" i="40" a="1"/>
  <c r="AH51" i="40" s="1"/>
  <c r="AG51" i="40" a="1"/>
  <c r="AG51" i="40" s="1"/>
  <c r="AF51" i="40" a="1"/>
  <c r="AF51" i="40" s="1"/>
  <c r="AE51" i="40" a="1"/>
  <c r="AE51" i="40" s="1"/>
  <c r="AD51" i="40" a="1"/>
  <c r="AD51" i="40" s="1"/>
  <c r="AC51" i="40" a="1"/>
  <c r="AC51" i="40" s="1"/>
  <c r="AB51" i="40" a="1"/>
  <c r="AB51" i="40" s="1"/>
  <c r="AA51" i="40" a="1"/>
  <c r="AA51" i="40" s="1"/>
  <c r="Z51" i="40" a="1"/>
  <c r="Z51" i="40" s="1"/>
  <c r="Y51" i="40" a="1"/>
  <c r="Y51" i="40" s="1"/>
  <c r="X51" i="40" a="1"/>
  <c r="X51" i="40" s="1"/>
  <c r="W51" i="40" a="1"/>
  <c r="W51" i="40" s="1"/>
  <c r="V51" i="40" a="1"/>
  <c r="V51" i="40" s="1"/>
  <c r="U51" i="40" a="1"/>
  <c r="U51" i="40" s="1"/>
  <c r="T51" i="40" a="1"/>
  <c r="T51" i="40" s="1"/>
  <c r="S51" i="40" a="1"/>
  <c r="S51" i="40" s="1"/>
  <c r="R51" i="40" a="1"/>
  <c r="R51" i="40" s="1"/>
  <c r="Q51" i="40" a="1"/>
  <c r="Q51" i="40" s="1"/>
  <c r="P51" i="40" a="1"/>
  <c r="P51" i="40" s="1"/>
  <c r="O51" i="40" a="1"/>
  <c r="O51" i="40" s="1"/>
  <c r="N51" i="40" a="1"/>
  <c r="N51" i="40" s="1"/>
  <c r="M51" i="40" a="1"/>
  <c r="M51" i="40" s="1"/>
  <c r="L51" i="40" a="1"/>
  <c r="L51" i="40" s="1"/>
  <c r="K51" i="40" a="1"/>
  <c r="K51" i="40" s="1"/>
  <c r="W49" i="40" a="1"/>
  <c r="W49" i="40" s="1"/>
  <c r="V49" i="40" a="1"/>
  <c r="V49" i="40" s="1"/>
  <c r="U49" i="40" a="1"/>
  <c r="U49" i="40" s="1"/>
  <c r="T49" i="40" a="1"/>
  <c r="T49" i="40" s="1"/>
  <c r="S49" i="40" a="1"/>
  <c r="S49" i="40" s="1"/>
  <c r="R49" i="40" a="1"/>
  <c r="R49" i="40" s="1"/>
  <c r="Q49" i="40" a="1"/>
  <c r="Q49" i="40" s="1"/>
  <c r="P49" i="40" a="1"/>
  <c r="P49" i="40" s="1"/>
  <c r="O49" i="40" a="1"/>
  <c r="O49" i="40" s="1"/>
  <c r="N49" i="40" a="1"/>
  <c r="N49" i="40" s="1"/>
  <c r="M49" i="40" a="1"/>
  <c r="M49" i="40" s="1"/>
  <c r="L49" i="40" a="1"/>
  <c r="L49" i="40" s="1"/>
  <c r="K49" i="40" a="1"/>
  <c r="K49" i="40" s="1"/>
  <c r="AT48" i="40" a="1"/>
  <c r="AT48" i="40" s="1"/>
  <c r="AS48" i="40" a="1"/>
  <c r="AS48" i="40" s="1"/>
  <c r="AR48" i="40" a="1"/>
  <c r="AR48" i="40" s="1"/>
  <c r="AQ48" i="40" a="1"/>
  <c r="AQ48" i="40" s="1"/>
  <c r="AP48" i="40" a="1"/>
  <c r="AP48" i="40" s="1"/>
  <c r="AO48" i="40" a="1"/>
  <c r="AO48" i="40" s="1"/>
  <c r="AN48" i="40" a="1"/>
  <c r="AN48" i="40" s="1"/>
  <c r="AM48" i="40" a="1"/>
  <c r="AM48" i="40" s="1"/>
  <c r="AL48" i="40" a="1"/>
  <c r="AL48" i="40" s="1"/>
  <c r="AK48" i="40" a="1"/>
  <c r="AK48" i="40" s="1"/>
  <c r="AJ48" i="40" a="1"/>
  <c r="AJ48" i="40" s="1"/>
  <c r="AI48" i="40" a="1"/>
  <c r="AI48" i="40" s="1"/>
  <c r="AH48" i="40" a="1"/>
  <c r="AH48" i="40" s="1"/>
  <c r="AG48" i="40" a="1"/>
  <c r="AG48" i="40" s="1"/>
  <c r="AF48" i="40" a="1"/>
  <c r="AF48" i="40" s="1"/>
  <c r="AE48" i="40" a="1"/>
  <c r="AE48" i="40" s="1"/>
  <c r="AD48" i="40" a="1"/>
  <c r="AD48" i="40" s="1"/>
  <c r="AC48" i="40" a="1"/>
  <c r="AC48" i="40" s="1"/>
  <c r="AB48" i="40" a="1"/>
  <c r="AB48" i="40" s="1"/>
  <c r="AA48" i="40" a="1"/>
  <c r="AA48" i="40" s="1"/>
  <c r="Z48" i="40" a="1"/>
  <c r="Z48" i="40" s="1"/>
  <c r="Y48" i="40" a="1"/>
  <c r="Y48" i="40" s="1"/>
  <c r="X48" i="40" a="1"/>
  <c r="X48" i="40" s="1"/>
  <c r="W48" i="40" a="1"/>
  <c r="W48" i="40" s="1"/>
  <c r="V48" i="40" a="1"/>
  <c r="V48" i="40" s="1"/>
  <c r="U48" i="40" a="1"/>
  <c r="U48" i="40" s="1"/>
  <c r="T48" i="40" a="1"/>
  <c r="T48" i="40" s="1"/>
  <c r="S48" i="40" a="1"/>
  <c r="S48" i="40" s="1"/>
  <c r="R48" i="40" a="1"/>
  <c r="R48" i="40" s="1"/>
  <c r="Q48" i="40" a="1"/>
  <c r="Q48" i="40" s="1"/>
  <c r="P48" i="40" a="1"/>
  <c r="P48" i="40" s="1"/>
  <c r="O48" i="40" a="1"/>
  <c r="O48" i="40" s="1"/>
  <c r="N48" i="40" a="1"/>
  <c r="N48" i="40" s="1"/>
  <c r="M48" i="40" a="1"/>
  <c r="M48" i="40" s="1"/>
  <c r="L48" i="40" a="1"/>
  <c r="L48" i="40" s="1"/>
  <c r="K48" i="40" a="1"/>
  <c r="K48" i="40" s="1"/>
  <c r="AT47" i="40" a="1"/>
  <c r="AT47" i="40" s="1"/>
  <c r="AS47" i="40" a="1"/>
  <c r="AS47" i="40" s="1"/>
  <c r="AR47" i="40" a="1"/>
  <c r="AR47" i="40" s="1"/>
  <c r="AQ47" i="40" a="1"/>
  <c r="AQ47" i="40" s="1"/>
  <c r="AP47" i="40" a="1"/>
  <c r="AP47" i="40" s="1"/>
  <c r="AO47" i="40" a="1"/>
  <c r="AO47" i="40" s="1"/>
  <c r="AN47" i="40" a="1"/>
  <c r="AN47" i="40" s="1"/>
  <c r="AM47" i="40" a="1"/>
  <c r="AM47" i="40" s="1"/>
  <c r="AL47" i="40" a="1"/>
  <c r="AL47" i="40" s="1"/>
  <c r="AK47" i="40" a="1"/>
  <c r="AK47" i="40" s="1"/>
  <c r="AJ47" i="40" a="1"/>
  <c r="AJ47" i="40" s="1"/>
  <c r="AI47" i="40" a="1"/>
  <c r="AI47" i="40" s="1"/>
  <c r="AH47" i="40" a="1"/>
  <c r="AH47" i="40" s="1"/>
  <c r="AG47" i="40" a="1"/>
  <c r="AG47" i="40" s="1"/>
  <c r="AF47" i="40" a="1"/>
  <c r="AF47" i="40" s="1"/>
  <c r="AE47" i="40" a="1"/>
  <c r="AE47" i="40" s="1"/>
  <c r="AD47" i="40" a="1"/>
  <c r="AD47" i="40" s="1"/>
  <c r="AC47" i="40" a="1"/>
  <c r="AC47" i="40" s="1"/>
  <c r="AB47" i="40" a="1"/>
  <c r="AB47" i="40" s="1"/>
  <c r="AA47" i="40" a="1"/>
  <c r="AA47" i="40" s="1"/>
  <c r="Z47" i="40" a="1"/>
  <c r="Z47" i="40" s="1"/>
  <c r="Y47" i="40" a="1"/>
  <c r="Y47" i="40" s="1"/>
  <c r="X47" i="40" a="1"/>
  <c r="X47" i="40" s="1"/>
  <c r="W47" i="40" a="1"/>
  <c r="W47" i="40" s="1"/>
  <c r="V47" i="40" a="1"/>
  <c r="V47" i="40" s="1"/>
  <c r="U47" i="40" a="1"/>
  <c r="U47" i="40" s="1"/>
  <c r="T47" i="40" a="1"/>
  <c r="T47" i="40" s="1"/>
  <c r="S47" i="40" a="1"/>
  <c r="S47" i="40" s="1"/>
  <c r="R47" i="40" a="1"/>
  <c r="R47" i="40" s="1"/>
  <c r="Q47" i="40" a="1"/>
  <c r="Q47" i="40" s="1"/>
  <c r="P47" i="40" a="1"/>
  <c r="P47" i="40" s="1"/>
  <c r="O47" i="40" a="1"/>
  <c r="O47" i="40" s="1"/>
  <c r="N47" i="40" a="1"/>
  <c r="N47" i="40" s="1"/>
  <c r="M47" i="40" a="1"/>
  <c r="M47" i="40" s="1"/>
  <c r="L47" i="40" a="1"/>
  <c r="L47" i="40" s="1"/>
  <c r="K47" i="40" a="1"/>
  <c r="K47" i="40" s="1"/>
  <c r="AS46" i="40" a="1"/>
  <c r="AS46" i="40" s="1"/>
  <c r="AR46" i="40" a="1"/>
  <c r="AR46" i="40" s="1"/>
  <c r="AQ46" i="40" a="1"/>
  <c r="AQ46" i="40" s="1"/>
  <c r="AP46" i="40" a="1"/>
  <c r="AP46" i="40" s="1"/>
  <c r="AO46" i="40" a="1"/>
  <c r="AO46" i="40" s="1"/>
  <c r="AN46" i="40" a="1"/>
  <c r="AN46" i="40" s="1"/>
  <c r="AM46" i="40" a="1"/>
  <c r="AM46" i="40" s="1"/>
  <c r="AL46" i="40" a="1"/>
  <c r="AL46" i="40" s="1"/>
  <c r="AK46" i="40" a="1"/>
  <c r="AK46" i="40" s="1"/>
  <c r="AJ46" i="40" a="1"/>
  <c r="AJ46" i="40" s="1"/>
  <c r="AI46" i="40" a="1"/>
  <c r="AI46" i="40" s="1"/>
  <c r="AH46" i="40" a="1"/>
  <c r="AH46" i="40" s="1"/>
  <c r="AG46" i="40" a="1"/>
  <c r="AG46" i="40" s="1"/>
  <c r="AF46" i="40" a="1"/>
  <c r="AF46" i="40" s="1"/>
  <c r="AE46" i="40" a="1"/>
  <c r="AE46" i="40" s="1"/>
  <c r="AD46" i="40" a="1"/>
  <c r="AD46" i="40" s="1"/>
  <c r="AC46" i="40" a="1"/>
  <c r="AC46" i="40" s="1"/>
  <c r="AB46" i="40" a="1"/>
  <c r="AB46" i="40" s="1"/>
  <c r="AA46" i="40" a="1"/>
  <c r="AA46" i="40" s="1"/>
  <c r="Z46" i="40" a="1"/>
  <c r="Z46" i="40" s="1"/>
  <c r="Y46" i="40" a="1"/>
  <c r="Y46" i="40" s="1"/>
  <c r="X46" i="40" a="1"/>
  <c r="X46" i="40" s="1"/>
  <c r="W46" i="40" a="1"/>
  <c r="W46" i="40" s="1"/>
  <c r="V46" i="40" a="1"/>
  <c r="V46" i="40" s="1"/>
  <c r="U46" i="40" a="1"/>
  <c r="U46" i="40" s="1"/>
  <c r="T46" i="40" a="1"/>
  <c r="T46" i="40" s="1"/>
  <c r="S46" i="40" a="1"/>
  <c r="S46" i="40" s="1"/>
  <c r="R46" i="40" a="1"/>
  <c r="R46" i="40" s="1"/>
  <c r="Q46" i="40" a="1"/>
  <c r="Q46" i="40" s="1"/>
  <c r="P46" i="40" a="1"/>
  <c r="P46" i="40" s="1"/>
  <c r="O46" i="40" a="1"/>
  <c r="O46" i="40" s="1"/>
  <c r="N46" i="40" a="1"/>
  <c r="N46" i="40" s="1"/>
  <c r="M46" i="40" a="1"/>
  <c r="M46" i="40" s="1"/>
  <c r="L46" i="40" a="1"/>
  <c r="L46" i="40" s="1"/>
  <c r="K46" i="40" a="1"/>
  <c r="K46" i="40" s="1"/>
  <c r="AS45" i="40" a="1"/>
  <c r="AS45" i="40" s="1"/>
  <c r="AR45" i="40" a="1"/>
  <c r="AR45" i="40" s="1"/>
  <c r="AQ45" i="40" a="1"/>
  <c r="AQ45" i="40" s="1"/>
  <c r="AP45" i="40" a="1"/>
  <c r="AP45" i="40" s="1"/>
  <c r="AO45" i="40" a="1"/>
  <c r="AO45" i="40" s="1"/>
  <c r="AN45" i="40" a="1"/>
  <c r="AN45" i="40" s="1"/>
  <c r="AM45" i="40" a="1"/>
  <c r="AM45" i="40" s="1"/>
  <c r="AL45" i="40" a="1"/>
  <c r="AL45" i="40" s="1"/>
  <c r="AK45" i="40" a="1"/>
  <c r="AK45" i="40" s="1"/>
  <c r="AJ45" i="40" a="1"/>
  <c r="AJ45" i="40" s="1"/>
  <c r="AI45" i="40" a="1"/>
  <c r="AI45" i="40" s="1"/>
  <c r="AH45" i="40" a="1"/>
  <c r="AH45" i="40" s="1"/>
  <c r="AG45" i="40" a="1"/>
  <c r="AG45" i="40" s="1"/>
  <c r="AF45" i="40" a="1"/>
  <c r="AF45" i="40" s="1"/>
  <c r="AE45" i="40" a="1"/>
  <c r="AE45" i="40" s="1"/>
  <c r="AD45" i="40" a="1"/>
  <c r="AD45" i="40" s="1"/>
  <c r="AC45" i="40" a="1"/>
  <c r="AC45" i="40" s="1"/>
  <c r="AB45" i="40" a="1"/>
  <c r="AB45" i="40" s="1"/>
  <c r="AA45" i="40" a="1"/>
  <c r="AA45" i="40" s="1"/>
  <c r="Z45" i="40" a="1"/>
  <c r="Z45" i="40" s="1"/>
  <c r="Y45" i="40" a="1"/>
  <c r="Y45" i="40" s="1"/>
  <c r="X45" i="40" a="1"/>
  <c r="X45" i="40" s="1"/>
  <c r="W45" i="40" a="1"/>
  <c r="W45" i="40" s="1"/>
  <c r="V45" i="40" a="1"/>
  <c r="V45" i="40" s="1"/>
  <c r="U45" i="40" a="1"/>
  <c r="U45" i="40" s="1"/>
  <c r="T45" i="40" a="1"/>
  <c r="T45" i="40" s="1"/>
  <c r="S45" i="40" a="1"/>
  <c r="S45" i="40" s="1"/>
  <c r="R45" i="40" a="1"/>
  <c r="R45" i="40" s="1"/>
  <c r="Q45" i="40" a="1"/>
  <c r="Q45" i="40" s="1"/>
  <c r="P45" i="40" a="1"/>
  <c r="P45" i="40" s="1"/>
  <c r="O45" i="40" a="1"/>
  <c r="O45" i="40" s="1"/>
  <c r="N45" i="40" a="1"/>
  <c r="N45" i="40" s="1"/>
  <c r="M45" i="40" a="1"/>
  <c r="M45" i="40" s="1"/>
  <c r="L45" i="40" a="1"/>
  <c r="L45" i="40" s="1"/>
  <c r="K45" i="40" a="1"/>
  <c r="K45" i="40" s="1"/>
  <c r="X44" i="40" a="1"/>
  <c r="X44" i="40" s="1"/>
  <c r="W44" i="40" a="1"/>
  <c r="W44" i="40" s="1"/>
  <c r="V44" i="40" a="1"/>
  <c r="V44" i="40" s="1"/>
  <c r="U44" i="40" a="1"/>
  <c r="U44" i="40" s="1"/>
  <c r="T44" i="40" a="1"/>
  <c r="T44" i="40" s="1"/>
  <c r="S44" i="40" a="1"/>
  <c r="S44" i="40" s="1"/>
  <c r="R44" i="40" a="1"/>
  <c r="R44" i="40" s="1"/>
  <c r="Q44" i="40" a="1"/>
  <c r="Q44" i="40" s="1"/>
  <c r="P44" i="40" a="1"/>
  <c r="P44" i="40" s="1"/>
  <c r="O44" i="40" a="1"/>
  <c r="O44" i="40" s="1"/>
  <c r="N44" i="40" a="1"/>
  <c r="N44" i="40" s="1"/>
  <c r="M44" i="40" a="1"/>
  <c r="M44" i="40" s="1"/>
  <c r="L44" i="40" a="1"/>
  <c r="L44" i="40" s="1"/>
  <c r="K44" i="40" a="1"/>
  <c r="K44" i="40" s="1"/>
  <c r="W43" i="40" a="1"/>
  <c r="W43" i="40" s="1"/>
  <c r="V43" i="40" a="1"/>
  <c r="V43" i="40" s="1"/>
  <c r="U43" i="40" a="1"/>
  <c r="U43" i="40" s="1"/>
  <c r="T43" i="40" a="1"/>
  <c r="T43" i="40" s="1"/>
  <c r="S43" i="40" a="1"/>
  <c r="S43" i="40" s="1"/>
  <c r="R43" i="40" a="1"/>
  <c r="R43" i="40" s="1"/>
  <c r="Q43" i="40" a="1"/>
  <c r="Q43" i="40" s="1"/>
  <c r="P43" i="40" a="1"/>
  <c r="P43" i="40" s="1"/>
  <c r="O43" i="40" a="1"/>
  <c r="O43" i="40" s="1"/>
  <c r="N43" i="40" a="1"/>
  <c r="N43" i="40" s="1"/>
  <c r="M43" i="40" a="1"/>
  <c r="M43" i="40" s="1"/>
  <c r="L43" i="40" a="1"/>
  <c r="L43" i="40" s="1"/>
  <c r="K43" i="40" a="1"/>
  <c r="K43" i="40" s="1"/>
  <c r="AT42" i="40" a="1"/>
  <c r="AT42" i="40" s="1"/>
  <c r="AS42" i="40" a="1"/>
  <c r="AS42" i="40" s="1"/>
  <c r="AR42" i="40" a="1"/>
  <c r="AR42" i="40" s="1"/>
  <c r="AQ42" i="40" a="1"/>
  <c r="AQ42" i="40" s="1"/>
  <c r="AP42" i="40" a="1"/>
  <c r="AP42" i="40" s="1"/>
  <c r="AO42" i="40" a="1"/>
  <c r="AO42" i="40" s="1"/>
  <c r="AN42" i="40" a="1"/>
  <c r="AN42" i="40" s="1"/>
  <c r="AM42" i="40" a="1"/>
  <c r="AM42" i="40" s="1"/>
  <c r="AL42" i="40" a="1"/>
  <c r="AL42" i="40" s="1"/>
  <c r="AK42" i="40" a="1"/>
  <c r="AK42" i="40" s="1"/>
  <c r="AJ42" i="40" a="1"/>
  <c r="AJ42" i="40" s="1"/>
  <c r="AI42" i="40" a="1"/>
  <c r="AI42" i="40" s="1"/>
  <c r="AH42" i="40" a="1"/>
  <c r="AH42" i="40" s="1"/>
  <c r="AG42" i="40" a="1"/>
  <c r="AG42" i="40" s="1"/>
  <c r="AF42" i="40" a="1"/>
  <c r="AF42" i="40" s="1"/>
  <c r="AE42" i="40" a="1"/>
  <c r="AE42" i="40" s="1"/>
  <c r="AD42" i="40" a="1"/>
  <c r="AD42" i="40" s="1"/>
  <c r="AC42" i="40" a="1"/>
  <c r="AC42" i="40" s="1"/>
  <c r="AB42" i="40" a="1"/>
  <c r="AB42" i="40" s="1"/>
  <c r="AA42" i="40" a="1"/>
  <c r="AA42" i="40" s="1"/>
  <c r="Z42" i="40" a="1"/>
  <c r="Z42" i="40" s="1"/>
  <c r="Y42" i="40" a="1"/>
  <c r="Y42" i="40" s="1"/>
  <c r="X42" i="40" a="1"/>
  <c r="X42" i="40" s="1"/>
  <c r="W42" i="40" a="1"/>
  <c r="W42" i="40" s="1"/>
  <c r="V42" i="40" a="1"/>
  <c r="V42" i="40" s="1"/>
  <c r="U42" i="40" a="1"/>
  <c r="U42" i="40" s="1"/>
  <c r="T42" i="40" a="1"/>
  <c r="T42" i="40" s="1"/>
  <c r="S42" i="40" a="1"/>
  <c r="S42" i="40" s="1"/>
  <c r="R42" i="40" a="1"/>
  <c r="R42" i="40" s="1"/>
  <c r="Q42" i="40" a="1"/>
  <c r="Q42" i="40" s="1"/>
  <c r="P42" i="40" a="1"/>
  <c r="P42" i="40" s="1"/>
  <c r="O42" i="40" a="1"/>
  <c r="O42" i="40" s="1"/>
  <c r="N42" i="40" a="1"/>
  <c r="N42" i="40" s="1"/>
  <c r="M42" i="40" a="1"/>
  <c r="M42" i="40" s="1"/>
  <c r="L42" i="40" a="1"/>
  <c r="L42" i="40" s="1"/>
  <c r="K42" i="40" a="1"/>
  <c r="K42" i="40" s="1"/>
  <c r="AT41" i="40" a="1"/>
  <c r="AT41" i="40" s="1"/>
  <c r="AS41" i="40" a="1"/>
  <c r="AS41" i="40" s="1"/>
  <c r="AR41" i="40" a="1"/>
  <c r="AR41" i="40" s="1"/>
  <c r="AQ41" i="40" a="1"/>
  <c r="AQ41" i="40" s="1"/>
  <c r="AP41" i="40" a="1"/>
  <c r="AP41" i="40" s="1"/>
  <c r="AO41" i="40" a="1"/>
  <c r="AO41" i="40" s="1"/>
  <c r="AN41" i="40" a="1"/>
  <c r="AN41" i="40" s="1"/>
  <c r="AM41" i="40" a="1"/>
  <c r="AM41" i="40" s="1"/>
  <c r="AL41" i="40" a="1"/>
  <c r="AL41" i="40" s="1"/>
  <c r="AK41" i="40" a="1"/>
  <c r="AK41" i="40" s="1"/>
  <c r="AJ41" i="40" a="1"/>
  <c r="AJ41" i="40" s="1"/>
  <c r="AI41" i="40" a="1"/>
  <c r="AI41" i="40" s="1"/>
  <c r="AH41" i="40" a="1"/>
  <c r="AH41" i="40" s="1"/>
  <c r="AG41" i="40" a="1"/>
  <c r="AG41" i="40" s="1"/>
  <c r="AF41" i="40" a="1"/>
  <c r="AF41" i="40" s="1"/>
  <c r="AE41" i="40" a="1"/>
  <c r="AE41" i="40" s="1"/>
  <c r="AD41" i="40" a="1"/>
  <c r="AD41" i="40" s="1"/>
  <c r="AC41" i="40" a="1"/>
  <c r="AC41" i="40" s="1"/>
  <c r="AB41" i="40" a="1"/>
  <c r="AB41" i="40" s="1"/>
  <c r="AA41" i="40" a="1"/>
  <c r="AA41" i="40" s="1"/>
  <c r="Z41" i="40" a="1"/>
  <c r="Z41" i="40" s="1"/>
  <c r="Y41" i="40" a="1"/>
  <c r="Y41" i="40" s="1"/>
  <c r="X41" i="40" a="1"/>
  <c r="X41" i="40" s="1"/>
  <c r="W41" i="40" a="1"/>
  <c r="W41" i="40" s="1"/>
  <c r="V41" i="40" a="1"/>
  <c r="V41" i="40" s="1"/>
  <c r="U41" i="40" a="1"/>
  <c r="U41" i="40" s="1"/>
  <c r="T41" i="40" a="1"/>
  <c r="T41" i="40" s="1"/>
  <c r="S41" i="40" a="1"/>
  <c r="S41" i="40" s="1"/>
  <c r="R41" i="40" a="1"/>
  <c r="R41" i="40" s="1"/>
  <c r="Q41" i="40" a="1"/>
  <c r="Q41" i="40" s="1"/>
  <c r="P41" i="40" a="1"/>
  <c r="P41" i="40" s="1"/>
  <c r="O41" i="40" a="1"/>
  <c r="O41" i="40" s="1"/>
  <c r="N41" i="40" a="1"/>
  <c r="N41" i="40" s="1"/>
  <c r="M41" i="40" a="1"/>
  <c r="M41" i="40" s="1"/>
  <c r="L41" i="40" a="1"/>
  <c r="L41" i="40" s="1"/>
  <c r="K41" i="40" a="1"/>
  <c r="K41" i="40" s="1"/>
  <c r="W40" i="40" a="1"/>
  <c r="W40" i="40" s="1"/>
  <c r="V40" i="40" a="1"/>
  <c r="V40" i="40" s="1"/>
  <c r="U40" i="40" a="1"/>
  <c r="U40" i="40" s="1"/>
  <c r="T40" i="40" a="1"/>
  <c r="T40" i="40" s="1"/>
  <c r="S40" i="40" a="1"/>
  <c r="S40" i="40" s="1"/>
  <c r="R40" i="40" a="1"/>
  <c r="R40" i="40" s="1"/>
  <c r="Q40" i="40" a="1"/>
  <c r="Q40" i="40" s="1"/>
  <c r="P40" i="40" a="1"/>
  <c r="P40" i="40" s="1"/>
  <c r="O40" i="40" a="1"/>
  <c r="O40" i="40" s="1"/>
  <c r="N40" i="40" a="1"/>
  <c r="N40" i="40" s="1"/>
  <c r="M40" i="40" a="1"/>
  <c r="M40" i="40" s="1"/>
  <c r="L40" i="40" a="1"/>
  <c r="L40" i="40" s="1"/>
  <c r="K40" i="40" a="1"/>
  <c r="K40" i="40" s="1"/>
  <c r="U39" i="40" a="1"/>
  <c r="U39" i="40" s="1"/>
  <c r="T39" i="40" a="1"/>
  <c r="T39" i="40" s="1"/>
  <c r="S39" i="40" a="1"/>
  <c r="S39" i="40" s="1"/>
  <c r="R39" i="40" a="1"/>
  <c r="R39" i="40" s="1"/>
  <c r="Q39" i="40" a="1"/>
  <c r="Q39" i="40" s="1"/>
  <c r="P39" i="40" a="1"/>
  <c r="P39" i="40" s="1"/>
  <c r="O39" i="40" a="1"/>
  <c r="O39" i="40" s="1"/>
  <c r="N39" i="40" a="1"/>
  <c r="N39" i="40" s="1"/>
  <c r="M39" i="40" a="1"/>
  <c r="M39" i="40" s="1"/>
  <c r="L39" i="40" a="1"/>
  <c r="L39" i="40" s="1"/>
  <c r="K39" i="40" a="1"/>
  <c r="K39" i="40" s="1"/>
  <c r="AR38" i="40" a="1"/>
  <c r="AR38" i="40" s="1"/>
  <c r="AQ38" i="40" a="1"/>
  <c r="AQ38" i="40" s="1"/>
  <c r="AP38" i="40" a="1"/>
  <c r="AP38" i="40" s="1"/>
  <c r="AO38" i="40" a="1"/>
  <c r="AO38" i="40" s="1"/>
  <c r="AN38" i="40" a="1"/>
  <c r="AN38" i="40" s="1"/>
  <c r="AM38" i="40" a="1"/>
  <c r="AM38" i="40" s="1"/>
  <c r="AL38" i="40" a="1"/>
  <c r="AL38" i="40" s="1"/>
  <c r="AK38" i="40" a="1"/>
  <c r="AK38" i="40" s="1"/>
  <c r="AJ38" i="40" a="1"/>
  <c r="AJ38" i="40" s="1"/>
  <c r="AI38" i="40" a="1"/>
  <c r="AI38" i="40" s="1"/>
  <c r="AH38" i="40" a="1"/>
  <c r="AH38" i="40" s="1"/>
  <c r="AG38" i="40" a="1"/>
  <c r="AG38" i="40" s="1"/>
  <c r="AF38" i="40" a="1"/>
  <c r="AF38" i="40" s="1"/>
  <c r="AE38" i="40" a="1"/>
  <c r="AE38" i="40" s="1"/>
  <c r="AD38" i="40" a="1"/>
  <c r="AD38" i="40" s="1"/>
  <c r="AC38" i="40" a="1"/>
  <c r="AC38" i="40" s="1"/>
  <c r="AB38" i="40" a="1"/>
  <c r="AB38" i="40" s="1"/>
  <c r="AA38" i="40" a="1"/>
  <c r="AA38" i="40" s="1"/>
  <c r="Z38" i="40" a="1"/>
  <c r="Z38" i="40" s="1"/>
  <c r="Y38" i="40" a="1"/>
  <c r="Y38" i="40" s="1"/>
  <c r="X38" i="40" a="1"/>
  <c r="X38" i="40" s="1"/>
  <c r="W38" i="40" a="1"/>
  <c r="W38" i="40" s="1"/>
  <c r="V38" i="40" a="1"/>
  <c r="V38" i="40" s="1"/>
  <c r="U38" i="40" a="1"/>
  <c r="U38" i="40" s="1"/>
  <c r="T38" i="40" a="1"/>
  <c r="T38" i="40" s="1"/>
  <c r="S38" i="40" a="1"/>
  <c r="S38" i="40" s="1"/>
  <c r="R38" i="40" a="1"/>
  <c r="R38" i="40" s="1"/>
  <c r="Q38" i="40" a="1"/>
  <c r="Q38" i="40" s="1"/>
  <c r="P38" i="40" a="1"/>
  <c r="P38" i="40" s="1"/>
  <c r="O38" i="40" a="1"/>
  <c r="O38" i="40" s="1"/>
  <c r="N38" i="40" a="1"/>
  <c r="N38" i="40" s="1"/>
  <c r="M38" i="40" a="1"/>
  <c r="M38" i="40" s="1"/>
  <c r="L38" i="40" a="1"/>
  <c r="L38" i="40" s="1"/>
  <c r="K38" i="40" a="1"/>
  <c r="K38" i="40" s="1"/>
  <c r="I52" i="40" a="1"/>
  <c r="I52" i="40" s="1"/>
  <c r="I51" i="40" a="1"/>
  <c r="I51" i="40" s="1"/>
  <c r="I46" i="40" a="1"/>
  <c r="I46" i="40" s="1"/>
  <c r="I45" i="40" a="1"/>
  <c r="I45" i="40" s="1"/>
  <c r="I41" i="40" a="1"/>
  <c r="I41" i="40" s="1"/>
  <c r="I38" i="40" a="1"/>
  <c r="I38" i="40" s="1"/>
  <c r="G84" i="27" l="1"/>
  <c r="G83" i="27"/>
  <c r="G82" i="27"/>
  <c r="G81" i="27"/>
  <c r="G80" i="27"/>
  <c r="G79" i="27"/>
  <c r="G78" i="27"/>
  <c r="G77" i="27"/>
  <c r="G76" i="27"/>
  <c r="G75" i="27"/>
  <c r="G74" i="27"/>
  <c r="G73" i="27"/>
  <c r="G72" i="27"/>
  <c r="G71" i="27"/>
  <c r="G70" i="27"/>
  <c r="G69" i="27"/>
  <c r="G68" i="27"/>
  <c r="G67" i="27"/>
  <c r="G66" i="27"/>
  <c r="G65" i="27"/>
  <c r="G54" i="27"/>
  <c r="G53" i="27"/>
  <c r="E164" i="40"/>
  <c r="E163" i="40"/>
  <c r="E162" i="40"/>
  <c r="E161" i="40"/>
  <c r="E160" i="40"/>
  <c r="E159" i="40"/>
  <c r="E158" i="40"/>
  <c r="E157" i="40"/>
  <c r="E156" i="40"/>
  <c r="E155" i="40"/>
  <c r="E154" i="40"/>
  <c r="E153" i="40"/>
  <c r="E152" i="40"/>
  <c r="E151" i="40"/>
  <c r="E150" i="40"/>
  <c r="E149" i="40"/>
  <c r="E146" i="40"/>
  <c r="E145" i="40"/>
  <c r="E144" i="40"/>
  <c r="E143" i="40"/>
  <c r="E142" i="40"/>
  <c r="E141" i="40"/>
  <c r="E140" i="40"/>
  <c r="E139" i="40"/>
  <c r="E138" i="40"/>
  <c r="E137" i="40"/>
  <c r="E136" i="40"/>
  <c r="E135" i="40"/>
  <c r="E134" i="40"/>
  <c r="E133" i="40"/>
  <c r="E132" i="40"/>
  <c r="E131" i="40"/>
  <c r="E130" i="40"/>
  <c r="E129" i="40"/>
  <c r="E128" i="40"/>
  <c r="E127" i="40"/>
  <c r="E126" i="40"/>
  <c r="E125" i="40"/>
  <c r="E124" i="40"/>
  <c r="E123" i="40"/>
  <c r="E122" i="40"/>
  <c r="E121" i="40"/>
  <c r="E120" i="40"/>
  <c r="E119" i="40"/>
  <c r="E118" i="40"/>
  <c r="E117" i="40"/>
  <c r="E116" i="40"/>
  <c r="E115" i="40"/>
  <c r="E114" i="40"/>
  <c r="E113" i="40"/>
  <c r="E112" i="40"/>
  <c r="E111" i="40"/>
  <c r="E110" i="40"/>
  <c r="E109" i="40"/>
  <c r="E108" i="40"/>
  <c r="E107" i="40"/>
  <c r="E106" i="40"/>
  <c r="E105" i="40"/>
  <c r="E104" i="40"/>
  <c r="AS73" i="40"/>
  <c r="AR73" i="40"/>
  <c r="AQ73" i="40"/>
  <c r="AP73" i="40"/>
  <c r="AO73" i="40"/>
  <c r="AN73" i="40"/>
  <c r="AM73" i="40"/>
  <c r="AL73" i="40"/>
  <c r="AK73" i="40"/>
  <c r="AJ73" i="40"/>
  <c r="AI73" i="40"/>
  <c r="AH73" i="40"/>
  <c r="AG73" i="40"/>
  <c r="AF73" i="40"/>
  <c r="AE73" i="40"/>
  <c r="AD73" i="40"/>
  <c r="AC73" i="40"/>
  <c r="AB73" i="40"/>
  <c r="AA73" i="40"/>
  <c r="Z73" i="40"/>
  <c r="Y73" i="40"/>
  <c r="X73" i="40"/>
  <c r="W73" i="40"/>
  <c r="V73" i="40"/>
  <c r="U73" i="40"/>
  <c r="T73" i="40"/>
  <c r="S73" i="40"/>
  <c r="R73" i="40"/>
  <c r="Q73" i="40"/>
  <c r="P73" i="40"/>
  <c r="O73" i="40"/>
  <c r="N73" i="40"/>
  <c r="M73" i="40"/>
  <c r="L73" i="40"/>
  <c r="K73" i="40"/>
  <c r="AS72" i="40"/>
  <c r="AR72" i="40"/>
  <c r="AQ72" i="40"/>
  <c r="AP72" i="40"/>
  <c r="AO72" i="40"/>
  <c r="AN72" i="40"/>
  <c r="AM72" i="40"/>
  <c r="AL72" i="40"/>
  <c r="AK72" i="40"/>
  <c r="AJ72" i="40"/>
  <c r="AI72" i="40"/>
  <c r="AH72" i="40"/>
  <c r="AG72" i="40"/>
  <c r="AF72" i="40"/>
  <c r="AE72" i="40"/>
  <c r="AD72" i="40"/>
  <c r="AC72" i="40"/>
  <c r="AB72" i="40"/>
  <c r="AA72" i="40"/>
  <c r="Z72" i="40"/>
  <c r="Y72" i="40"/>
  <c r="X72" i="40"/>
  <c r="W72" i="40"/>
  <c r="V72" i="40"/>
  <c r="U72" i="40"/>
  <c r="T72" i="40"/>
  <c r="S72" i="40"/>
  <c r="R72" i="40"/>
  <c r="Q72" i="40"/>
  <c r="P72" i="40"/>
  <c r="O72" i="40"/>
  <c r="N72" i="40"/>
  <c r="M72" i="40"/>
  <c r="L72" i="40"/>
  <c r="K72" i="40"/>
  <c r="AT71" i="40"/>
  <c r="AS71" i="40"/>
  <c r="AR71" i="40"/>
  <c r="AQ71" i="40"/>
  <c r="AP71" i="40"/>
  <c r="AO71" i="40"/>
  <c r="AN71" i="40"/>
  <c r="AM71" i="40"/>
  <c r="AL71" i="40"/>
  <c r="AK71" i="40"/>
  <c r="AJ71" i="40"/>
  <c r="AI71" i="40"/>
  <c r="AH71" i="40"/>
  <c r="AG71" i="40"/>
  <c r="AF71" i="40"/>
  <c r="AE71" i="40"/>
  <c r="AD71" i="40"/>
  <c r="AC71" i="40"/>
  <c r="AB71" i="40"/>
  <c r="AA71" i="40"/>
  <c r="Z71" i="40"/>
  <c r="Y71" i="40"/>
  <c r="X71" i="40"/>
  <c r="W71" i="40"/>
  <c r="V71" i="40"/>
  <c r="U71" i="40"/>
  <c r="T71" i="40"/>
  <c r="S71" i="40"/>
  <c r="R71" i="40"/>
  <c r="Q71" i="40"/>
  <c r="P71" i="40"/>
  <c r="O71" i="40"/>
  <c r="N71" i="40"/>
  <c r="M71" i="40"/>
  <c r="L71" i="40"/>
  <c r="K71" i="40"/>
  <c r="AT70" i="40"/>
  <c r="AS70" i="40"/>
  <c r="AR70" i="40"/>
  <c r="AQ70" i="40"/>
  <c r="AP70" i="40"/>
  <c r="AO70" i="40"/>
  <c r="AN70" i="40"/>
  <c r="AM70" i="40"/>
  <c r="AL70" i="40"/>
  <c r="AK70" i="40"/>
  <c r="AJ70" i="40"/>
  <c r="AI70" i="40"/>
  <c r="AH70" i="40"/>
  <c r="AG70" i="40"/>
  <c r="AF70" i="40"/>
  <c r="AE70" i="40"/>
  <c r="AD70" i="40"/>
  <c r="AC70" i="40"/>
  <c r="AB70" i="40"/>
  <c r="AA70" i="40"/>
  <c r="Z70" i="40"/>
  <c r="Y70" i="40"/>
  <c r="X70" i="40"/>
  <c r="W70" i="40"/>
  <c r="V70" i="40"/>
  <c r="U70" i="40"/>
  <c r="T70" i="40"/>
  <c r="S70" i="40"/>
  <c r="R70" i="40"/>
  <c r="Q70" i="40"/>
  <c r="P70" i="40"/>
  <c r="O70" i="40"/>
  <c r="N70" i="40"/>
  <c r="M70" i="40"/>
  <c r="L70" i="40"/>
  <c r="K70" i="40"/>
  <c r="W68" i="40"/>
  <c r="V68" i="40"/>
  <c r="U68" i="40"/>
  <c r="T68" i="40"/>
  <c r="S68" i="40"/>
  <c r="R68" i="40"/>
  <c r="Q68" i="40"/>
  <c r="P68" i="40"/>
  <c r="O68" i="40"/>
  <c r="N68" i="40"/>
  <c r="M68" i="40"/>
  <c r="L68" i="40"/>
  <c r="K68" i="40"/>
  <c r="AT67" i="40"/>
  <c r="AS67" i="40"/>
  <c r="AR67" i="40"/>
  <c r="AQ67" i="40"/>
  <c r="AP67" i="40"/>
  <c r="AO67" i="40"/>
  <c r="AN67" i="40"/>
  <c r="AM67" i="40"/>
  <c r="AL67" i="40"/>
  <c r="AK67" i="40"/>
  <c r="AJ67" i="40"/>
  <c r="AI67" i="40"/>
  <c r="AH67" i="40"/>
  <c r="AG67" i="40"/>
  <c r="AF67" i="40"/>
  <c r="AE67" i="40"/>
  <c r="AD67" i="40"/>
  <c r="AC67" i="40"/>
  <c r="AB67" i="40"/>
  <c r="AA67" i="40"/>
  <c r="Z67" i="40"/>
  <c r="Y67" i="40"/>
  <c r="X67" i="40"/>
  <c r="W67" i="40"/>
  <c r="V67" i="40"/>
  <c r="U67" i="40"/>
  <c r="T67" i="40"/>
  <c r="S67" i="40"/>
  <c r="R67" i="40"/>
  <c r="Q67" i="40"/>
  <c r="P67" i="40"/>
  <c r="O67" i="40"/>
  <c r="N67" i="40"/>
  <c r="M67" i="40"/>
  <c r="L67" i="40"/>
  <c r="K67" i="40"/>
  <c r="AT66" i="40"/>
  <c r="AS66" i="40"/>
  <c r="AR66" i="40"/>
  <c r="AQ66" i="40"/>
  <c r="AP66" i="40"/>
  <c r="AO66" i="40"/>
  <c r="AN66" i="40"/>
  <c r="AM66" i="40"/>
  <c r="AL66" i="40"/>
  <c r="AK66" i="40"/>
  <c r="AJ66" i="40"/>
  <c r="AI66" i="40"/>
  <c r="AH66" i="40"/>
  <c r="AG66" i="40"/>
  <c r="AF66" i="40"/>
  <c r="AE66" i="40"/>
  <c r="AD66" i="40"/>
  <c r="AC66" i="40"/>
  <c r="AB66" i="40"/>
  <c r="AA66" i="40"/>
  <c r="Z66" i="40"/>
  <c r="Y66" i="40"/>
  <c r="X66" i="40"/>
  <c r="W66" i="40"/>
  <c r="V66" i="40"/>
  <c r="U66" i="40"/>
  <c r="T66" i="40"/>
  <c r="S66" i="40"/>
  <c r="R66" i="40"/>
  <c r="Q66" i="40"/>
  <c r="P66" i="40"/>
  <c r="O66" i="40"/>
  <c r="N66" i="40"/>
  <c r="M66" i="40"/>
  <c r="L66" i="40"/>
  <c r="K66" i="40"/>
  <c r="AS65" i="40"/>
  <c r="AR65" i="40"/>
  <c r="AQ65" i="40"/>
  <c r="AP65" i="40"/>
  <c r="AO65" i="40"/>
  <c r="AN65" i="40"/>
  <c r="AM65" i="40"/>
  <c r="AL65" i="40"/>
  <c r="AK65" i="40"/>
  <c r="AJ65" i="40"/>
  <c r="AI65" i="40"/>
  <c r="AH65" i="40"/>
  <c r="AG65" i="40"/>
  <c r="AF65" i="40"/>
  <c r="AE65" i="40"/>
  <c r="AD65" i="40"/>
  <c r="AC65" i="40"/>
  <c r="AB65" i="40"/>
  <c r="AA65" i="40"/>
  <c r="Z65" i="40"/>
  <c r="Y65" i="40"/>
  <c r="X65" i="40"/>
  <c r="W65" i="40"/>
  <c r="V65" i="40"/>
  <c r="U65" i="40"/>
  <c r="T65" i="40"/>
  <c r="S65" i="40"/>
  <c r="R65" i="40"/>
  <c r="Q65" i="40"/>
  <c r="P65" i="40"/>
  <c r="O65" i="40"/>
  <c r="N65" i="40"/>
  <c r="M65" i="40"/>
  <c r="L65" i="40"/>
  <c r="K65" i="40"/>
  <c r="AS64" i="40"/>
  <c r="AR64" i="40"/>
  <c r="AQ64" i="40"/>
  <c r="AP64" i="40"/>
  <c r="AO64" i="40"/>
  <c r="AN64" i="40"/>
  <c r="AM64" i="40"/>
  <c r="AL64" i="40"/>
  <c r="AK64" i="40"/>
  <c r="AJ64" i="40"/>
  <c r="AI64" i="40"/>
  <c r="AH64" i="40"/>
  <c r="AG64" i="40"/>
  <c r="AF64" i="40"/>
  <c r="AE64" i="40"/>
  <c r="AD64" i="40"/>
  <c r="AC64" i="40"/>
  <c r="AB64" i="40"/>
  <c r="AA64" i="40"/>
  <c r="Z64" i="40"/>
  <c r="Y64" i="40"/>
  <c r="X64" i="40"/>
  <c r="W64" i="40"/>
  <c r="V64" i="40"/>
  <c r="U64" i="40"/>
  <c r="T64" i="40"/>
  <c r="S64" i="40"/>
  <c r="R64" i="40"/>
  <c r="Q64" i="40"/>
  <c r="P64" i="40"/>
  <c r="O64" i="40"/>
  <c r="N64" i="40"/>
  <c r="M64" i="40"/>
  <c r="L64" i="40"/>
  <c r="K64" i="40"/>
  <c r="X63" i="40"/>
  <c r="W63" i="40"/>
  <c r="V63" i="40"/>
  <c r="U63" i="40"/>
  <c r="T63" i="40"/>
  <c r="S63" i="40"/>
  <c r="R63" i="40"/>
  <c r="Q63" i="40"/>
  <c r="P63" i="40"/>
  <c r="O63" i="40"/>
  <c r="N63" i="40"/>
  <c r="M63" i="40"/>
  <c r="L63" i="40"/>
  <c r="K63" i="40"/>
  <c r="W62" i="40"/>
  <c r="V62" i="40"/>
  <c r="U62" i="40"/>
  <c r="T62" i="40"/>
  <c r="S62" i="40"/>
  <c r="R62" i="40"/>
  <c r="Q62" i="40"/>
  <c r="P62" i="40"/>
  <c r="O62" i="40"/>
  <c r="N62" i="40"/>
  <c r="M62" i="40"/>
  <c r="L62" i="40"/>
  <c r="K62" i="40"/>
  <c r="AT61" i="40"/>
  <c r="AS61" i="40"/>
  <c r="AR61" i="40"/>
  <c r="AQ61" i="40"/>
  <c r="AP61" i="40"/>
  <c r="AO61" i="40"/>
  <c r="AN61" i="40"/>
  <c r="AM61" i="40"/>
  <c r="AL61" i="40"/>
  <c r="AK61" i="40"/>
  <c r="AJ61" i="40"/>
  <c r="AI61" i="40"/>
  <c r="AH61" i="40"/>
  <c r="AG61" i="40"/>
  <c r="AF61" i="40"/>
  <c r="AE61" i="40"/>
  <c r="AD61" i="40"/>
  <c r="AC61" i="40"/>
  <c r="AB61" i="40"/>
  <c r="AA61" i="40"/>
  <c r="Z61" i="40"/>
  <c r="Y61" i="40"/>
  <c r="X61" i="40"/>
  <c r="W61" i="40"/>
  <c r="V61" i="40"/>
  <c r="U61" i="40"/>
  <c r="T61" i="40"/>
  <c r="S61" i="40"/>
  <c r="R61" i="40"/>
  <c r="Q61" i="40"/>
  <c r="P61" i="40"/>
  <c r="O61" i="40"/>
  <c r="N61" i="40"/>
  <c r="M61" i="40"/>
  <c r="L61" i="40"/>
  <c r="K61" i="40"/>
  <c r="AT60" i="40"/>
  <c r="AS60" i="40"/>
  <c r="AR60" i="40"/>
  <c r="AQ60" i="40"/>
  <c r="AP60" i="40"/>
  <c r="AO60" i="40"/>
  <c r="AN60" i="40"/>
  <c r="AM60" i="40"/>
  <c r="AL60" i="40"/>
  <c r="AK60" i="40"/>
  <c r="AJ60" i="40"/>
  <c r="AI60" i="40"/>
  <c r="AH60" i="40"/>
  <c r="AG60" i="40"/>
  <c r="AF60" i="40"/>
  <c r="AE60" i="40"/>
  <c r="AD60" i="40"/>
  <c r="AC60" i="40"/>
  <c r="AB60" i="40"/>
  <c r="AA60" i="40"/>
  <c r="Z60" i="40"/>
  <c r="Y60" i="40"/>
  <c r="X60" i="40"/>
  <c r="W60" i="40"/>
  <c r="V60" i="40"/>
  <c r="U60" i="40"/>
  <c r="T60" i="40"/>
  <c r="S60" i="40"/>
  <c r="R60" i="40"/>
  <c r="Q60" i="40"/>
  <c r="P60" i="40"/>
  <c r="O60" i="40"/>
  <c r="N60" i="40"/>
  <c r="M60" i="40"/>
  <c r="L60" i="40"/>
  <c r="K60" i="40"/>
  <c r="W59" i="40"/>
  <c r="V59" i="40"/>
  <c r="U59" i="40"/>
  <c r="T59" i="40"/>
  <c r="S59" i="40"/>
  <c r="R59" i="40"/>
  <c r="Q59" i="40"/>
  <c r="P59" i="40"/>
  <c r="O59" i="40"/>
  <c r="N59" i="40"/>
  <c r="M59" i="40"/>
  <c r="L59" i="40"/>
  <c r="K59" i="40"/>
  <c r="U58" i="40"/>
  <c r="T58" i="40"/>
  <c r="S58" i="40"/>
  <c r="R58" i="40"/>
  <c r="Q58" i="40"/>
  <c r="P58" i="40"/>
  <c r="O58" i="40"/>
  <c r="N58" i="40"/>
  <c r="M58" i="40"/>
  <c r="L58" i="40"/>
  <c r="K58" i="40"/>
  <c r="AR57" i="40"/>
  <c r="AQ57" i="40"/>
  <c r="AP57" i="40"/>
  <c r="AO57" i="40"/>
  <c r="AN57" i="40"/>
  <c r="AM57" i="40"/>
  <c r="AL57" i="40"/>
  <c r="AK57" i="40"/>
  <c r="AJ57" i="40"/>
  <c r="AI57" i="40"/>
  <c r="AH57" i="40"/>
  <c r="AG57" i="40"/>
  <c r="AF57" i="40"/>
  <c r="AE57" i="40"/>
  <c r="AD57" i="40"/>
  <c r="AC57" i="40"/>
  <c r="AB57" i="40"/>
  <c r="AA57" i="40"/>
  <c r="Z57" i="40"/>
  <c r="Y57" i="40"/>
  <c r="X57" i="40"/>
  <c r="W57" i="40"/>
  <c r="V57" i="40"/>
  <c r="U57" i="40"/>
  <c r="T57" i="40"/>
  <c r="S57" i="40"/>
  <c r="R57" i="40"/>
  <c r="Q57" i="40"/>
  <c r="P57" i="40"/>
  <c r="O57" i="40"/>
  <c r="N57" i="40"/>
  <c r="M57" i="40"/>
  <c r="L57" i="40"/>
  <c r="K57" i="40"/>
  <c r="I71" i="40"/>
  <c r="I70" i="40"/>
  <c r="I65" i="40"/>
  <c r="I64" i="40"/>
  <c r="I60" i="40"/>
  <c r="I57" i="40"/>
  <c r="A1" i="40" a="1"/>
  <c r="A1" i="40" s="1"/>
  <c r="I17" i="40" l="1"/>
  <c r="I16" i="40"/>
  <c r="I19" i="40"/>
  <c r="AY116" i="15" l="1"/>
  <c r="AX116" i="15"/>
  <c r="AW116" i="15"/>
  <c r="AV116" i="15"/>
  <c r="AU116" i="15"/>
  <c r="AY118" i="15"/>
  <c r="AX118" i="15"/>
  <c r="AW118" i="15"/>
  <c r="AV118" i="15"/>
  <c r="AU118" i="15"/>
  <c r="AY117" i="15"/>
  <c r="AX117" i="15"/>
  <c r="AW117" i="15"/>
  <c r="AV117" i="15"/>
  <c r="AU117" i="15"/>
  <c r="AY115" i="15"/>
  <c r="AX115" i="15"/>
  <c r="AW115" i="15"/>
  <c r="AV115" i="15"/>
  <c r="AU115" i="15"/>
  <c r="AY114" i="15"/>
  <c r="AX114" i="15"/>
  <c r="AW114" i="15"/>
  <c r="AV114" i="15"/>
  <c r="AU114" i="15"/>
  <c r="AY113" i="15"/>
  <c r="AX113" i="15"/>
  <c r="AW113" i="15"/>
  <c r="AV113" i="15"/>
  <c r="BC213" i="15" l="1"/>
  <c r="BB68" i="38" l="1"/>
  <c r="BB67" i="38"/>
  <c r="BB66" i="38"/>
  <c r="BB64" i="38"/>
  <c r="BB63" i="38"/>
  <c r="BB62" i="38"/>
  <c r="BC58" i="38"/>
  <c r="BB58" i="38"/>
  <c r="BC56" i="38"/>
  <c r="BB56" i="38"/>
  <c r="BC54" i="38"/>
  <c r="BB54" i="38"/>
  <c r="BC51" i="38"/>
  <c r="BB51" i="38"/>
  <c r="BC49" i="38"/>
  <c r="BB49" i="38"/>
  <c r="BC48" i="38"/>
  <c r="BB48" i="38"/>
  <c r="BC46" i="38"/>
  <c r="BB46" i="38"/>
  <c r="BC43" i="38"/>
  <c r="BB43" i="38"/>
  <c r="BC41" i="38"/>
  <c r="BB41" i="38"/>
  <c r="BC40" i="38"/>
  <c r="BB40" i="38"/>
  <c r="BC38" i="38"/>
  <c r="BB38" i="38"/>
  <c r="BB34" i="38"/>
  <c r="BB32" i="38"/>
  <c r="BB30" i="38"/>
  <c r="BB28" i="38"/>
  <c r="BB25" i="38"/>
  <c r="BB24" i="38"/>
  <c r="I20" i="38"/>
  <c r="I19" i="38"/>
  <c r="I18" i="38"/>
  <c r="I17" i="38"/>
  <c r="AY4" i="38"/>
  <c r="AX4" i="38"/>
  <c r="AW4" i="38"/>
  <c r="AV4" i="38"/>
  <c r="AU4" i="38"/>
  <c r="AT4" i="38"/>
  <c r="AS4" i="38"/>
  <c r="AR4" i="38"/>
  <c r="AQ4" i="38"/>
  <c r="AP4" i="38"/>
  <c r="AO4" i="38"/>
  <c r="AN4" i="38"/>
  <c r="AM4" i="38"/>
  <c r="AL4" i="38"/>
  <c r="AK4" i="38"/>
  <c r="AJ4" i="38"/>
  <c r="AI4" i="38"/>
  <c r="AH4" i="38"/>
  <c r="AG4" i="38"/>
  <c r="AF4" i="38"/>
  <c r="AE4" i="38"/>
  <c r="AD4" i="38"/>
  <c r="AC4" i="38"/>
  <c r="AB4" i="38"/>
  <c r="AA4" i="38"/>
  <c r="Z4" i="38"/>
  <c r="Y4" i="38"/>
  <c r="X4" i="38"/>
  <c r="W4" i="38"/>
  <c r="V4" i="38"/>
  <c r="U4" i="38"/>
  <c r="T4" i="38"/>
  <c r="S4" i="38"/>
  <c r="R4" i="38"/>
  <c r="Q4" i="38"/>
  <c r="P4" i="38"/>
  <c r="O4" i="38"/>
  <c r="N4" i="38"/>
  <c r="M4" i="38"/>
  <c r="L4" i="38"/>
  <c r="K4" i="38"/>
  <c r="AU3" i="38"/>
  <c r="I3" i="38"/>
  <c r="A1" i="38" a="1"/>
  <c r="A1" i="38" s="1"/>
  <c r="D18" i="38" a="1"/>
  <c r="D20" i="38" a="1"/>
  <c r="D11" i="38" a="1"/>
  <c r="D19" i="38" a="1"/>
  <c r="D17" i="38" a="1"/>
  <c r="BA29" i="38" l="1"/>
  <c r="BA31" i="38"/>
  <c r="BA25" i="38"/>
  <c r="BA23" i="38"/>
  <c r="I11" i="38"/>
  <c r="BA66" i="38"/>
  <c r="BA67" i="38"/>
  <c r="BA68" i="38"/>
  <c r="BA64" i="38"/>
  <c r="BA63" i="38"/>
  <c r="BA62" i="38"/>
  <c r="BA58" i="38"/>
  <c r="BA56" i="38"/>
  <c r="BA54" i="38"/>
  <c r="BA51" i="38"/>
  <c r="BA48" i="38"/>
  <c r="BA49" i="38"/>
  <c r="BA46" i="38"/>
  <c r="BA43" i="38"/>
  <c r="BA41" i="38"/>
  <c r="BA40" i="38"/>
  <c r="BA38" i="38"/>
  <c r="BA34" i="38"/>
  <c r="BA32" i="38"/>
  <c r="BA30" i="38"/>
  <c r="BA28" i="38"/>
  <c r="BA24" i="38"/>
  <c r="D19" i="38"/>
  <c r="D11" i="38"/>
  <c r="D20" i="38"/>
  <c r="D17" i="38"/>
  <c r="D18" i="38"/>
  <c r="I146" i="25" l="1"/>
  <c r="G132" i="32"/>
  <c r="G126" i="32"/>
  <c r="G125" i="32"/>
  <c r="G124" i="32"/>
  <c r="G123" i="32"/>
  <c r="G122" i="32"/>
  <c r="G93" i="32"/>
  <c r="G92" i="32"/>
  <c r="G91" i="32"/>
  <c r="G90" i="32"/>
  <c r="G89" i="32"/>
  <c r="G63" i="32"/>
  <c r="G62" i="32"/>
  <c r="G61" i="32"/>
  <c r="G60" i="32"/>
  <c r="G59" i="32"/>
  <c r="G22" i="32"/>
  <c r="G21" i="32"/>
  <c r="AW170" i="35" l="1"/>
  <c r="AW20" i="35"/>
  <c r="AY80" i="40" l="1"/>
  <c r="AX80" i="40"/>
  <c r="AW80" i="40"/>
  <c r="AV80" i="40"/>
  <c r="AU80" i="40"/>
  <c r="AX13" i="27" l="1"/>
  <c r="AX91" i="40"/>
  <c r="AV12" i="27"/>
  <c r="AV91" i="40"/>
  <c r="AY13" i="27"/>
  <c r="AY91" i="40"/>
  <c r="AU13" i="27"/>
  <c r="AU91" i="40"/>
  <c r="AW13" i="27"/>
  <c r="AW91" i="40"/>
  <c r="AV13" i="27"/>
  <c r="AY12" i="27"/>
  <c r="AX12" i="27"/>
  <c r="AU12" i="27"/>
  <c r="AW12" i="27"/>
  <c r="AU65" i="35"/>
  <c r="AV65" i="35"/>
  <c r="AW65" i="35"/>
  <c r="BC49" i="34" l="1"/>
  <c r="BB49" i="34"/>
  <c r="BC48" i="34"/>
  <c r="BB48" i="34"/>
  <c r="BC47" i="34"/>
  <c r="BB47" i="34"/>
  <c r="BC39" i="34"/>
  <c r="BB39" i="34"/>
  <c r="BC37" i="34"/>
  <c r="BB37" i="34"/>
  <c r="BC36" i="34"/>
  <c r="BB36" i="34"/>
  <c r="BB28" i="34"/>
  <c r="BB26" i="34"/>
  <c r="BB25" i="34"/>
  <c r="BC49" i="33"/>
  <c r="BB49" i="33"/>
  <c r="BC48" i="33"/>
  <c r="BB48" i="33"/>
  <c r="BC47" i="33"/>
  <c r="BB47" i="33"/>
  <c r="BC39" i="33"/>
  <c r="BB39" i="33"/>
  <c r="BC37" i="33"/>
  <c r="BB37" i="33"/>
  <c r="BC36" i="33"/>
  <c r="BB36" i="33"/>
  <c r="BB28" i="33"/>
  <c r="BB26" i="33"/>
  <c r="BB25" i="33"/>
  <c r="BD316" i="27"/>
  <c r="BC316" i="27"/>
  <c r="BB316" i="27"/>
  <c r="BD291" i="27"/>
  <c r="BC291" i="27"/>
  <c r="BB291" i="27"/>
  <c r="BD289" i="27"/>
  <c r="BC289" i="27"/>
  <c r="BB289" i="27"/>
  <c r="BD288" i="27"/>
  <c r="BC288" i="27"/>
  <c r="BB288" i="27"/>
  <c r="BD287" i="27"/>
  <c r="BC287" i="27"/>
  <c r="BB287" i="27"/>
  <c r="BD286" i="27"/>
  <c r="BC286" i="27"/>
  <c r="BB286" i="27"/>
  <c r="BC276" i="27"/>
  <c r="BB276" i="27"/>
  <c r="BC273" i="27"/>
  <c r="BB273" i="27"/>
  <c r="BC272" i="27"/>
  <c r="BB272" i="27"/>
  <c r="BC270" i="27"/>
  <c r="BB270" i="27"/>
  <c r="BC90" i="11"/>
  <c r="BB90" i="11"/>
  <c r="BC65" i="11"/>
  <c r="BB65" i="11"/>
  <c r="BC63" i="11"/>
  <c r="BB63" i="11"/>
  <c r="BC62" i="11"/>
  <c r="BB62" i="11"/>
  <c r="BC61" i="11"/>
  <c r="BB61" i="11"/>
  <c r="BC60" i="11"/>
  <c r="BB60" i="11"/>
  <c r="BB47" i="11"/>
  <c r="BB46" i="11"/>
  <c r="BB44" i="11"/>
  <c r="BC142" i="25"/>
  <c r="BB142" i="25"/>
  <c r="BC128" i="25"/>
  <c r="BB128" i="25"/>
  <c r="BC65" i="15"/>
  <c r="BB65" i="15"/>
  <c r="BB38" i="26"/>
  <c r="BC583" i="14"/>
  <c r="BB583" i="14"/>
  <c r="BC582" i="14"/>
  <c r="BB582" i="14"/>
  <c r="BC54" i="14"/>
  <c r="BB54" i="14"/>
  <c r="BD164" i="15" l="1"/>
  <c r="BC164" i="15"/>
  <c r="BB164" i="15"/>
  <c r="I142" i="25" l="1"/>
  <c r="G141" i="25"/>
  <c r="G145" i="25"/>
  <c r="D385" i="20" l="1"/>
  <c r="D384" i="20"/>
  <c r="D383" i="20"/>
  <c r="D382" i="20"/>
  <c r="D381" i="20"/>
  <c r="D380" i="20"/>
  <c r="D379" i="20"/>
  <c r="D378" i="20"/>
  <c r="D377" i="20"/>
  <c r="D376" i="20"/>
  <c r="D375" i="20"/>
  <c r="D374" i="20"/>
  <c r="D373" i="20"/>
  <c r="D372" i="20"/>
  <c r="D371" i="20"/>
  <c r="D370" i="20"/>
  <c r="D369" i="20"/>
  <c r="D368" i="20"/>
  <c r="D367" i="20"/>
  <c r="D366" i="20"/>
  <c r="D365" i="20"/>
  <c r="D364" i="20"/>
  <c r="D363" i="20"/>
  <c r="D362" i="20"/>
  <c r="D361" i="20"/>
  <c r="D360" i="20"/>
  <c r="D359" i="20"/>
  <c r="D358" i="20"/>
  <c r="D357" i="20"/>
  <c r="D356" i="20"/>
  <c r="D355" i="20"/>
  <c r="D354" i="20"/>
  <c r="D353" i="20"/>
  <c r="D352" i="20"/>
  <c r="D351" i="20"/>
  <c r="D350" i="20"/>
  <c r="D349" i="20"/>
  <c r="D348" i="20"/>
  <c r="D347" i="20"/>
  <c r="D346" i="20"/>
  <c r="D345" i="20"/>
  <c r="D344" i="20"/>
  <c r="D343" i="20"/>
  <c r="D342" i="20"/>
  <c r="D341" i="20"/>
  <c r="D340" i="20"/>
  <c r="D339" i="20"/>
  <c r="D338" i="20"/>
  <c r="D337" i="20"/>
  <c r="D336" i="20"/>
  <c r="D335" i="20"/>
  <c r="D334" i="20"/>
  <c r="D333" i="20"/>
  <c r="D332" i="20"/>
  <c r="D331" i="20"/>
  <c r="D330" i="20"/>
  <c r="D329" i="20"/>
  <c r="D328" i="20"/>
  <c r="D327" i="20"/>
  <c r="D326" i="20"/>
  <c r="D325" i="20"/>
  <c r="D324" i="20"/>
  <c r="D323" i="20"/>
  <c r="D322" i="20"/>
  <c r="D321" i="20"/>
  <c r="D320" i="20"/>
  <c r="D319" i="20"/>
  <c r="D318" i="20"/>
  <c r="D317" i="20"/>
  <c r="D316" i="20"/>
  <c r="D315" i="20"/>
  <c r="D314" i="20"/>
  <c r="D313" i="20"/>
  <c r="D312" i="20"/>
  <c r="D311" i="20"/>
  <c r="D310" i="20"/>
  <c r="D309" i="20"/>
  <c r="D308" i="20"/>
  <c r="D307" i="20"/>
  <c r="D306" i="20"/>
  <c r="D305" i="20"/>
  <c r="D304" i="20"/>
  <c r="D303" i="20"/>
  <c r="D302" i="20"/>
  <c r="D301" i="20"/>
  <c r="D300" i="20"/>
  <c r="D299" i="20"/>
  <c r="D298" i="20"/>
  <c r="D297" i="20"/>
  <c r="D296" i="20"/>
  <c r="D295" i="20"/>
  <c r="D294" i="20"/>
  <c r="D293" i="20"/>
  <c r="D292" i="20"/>
  <c r="D291" i="20"/>
  <c r="D290" i="20"/>
  <c r="D289" i="20"/>
  <c r="D288" i="20"/>
  <c r="D287" i="20"/>
  <c r="D286" i="20"/>
  <c r="D285" i="20"/>
  <c r="D284" i="20"/>
  <c r="D283" i="20"/>
  <c r="D282" i="20"/>
  <c r="D281" i="20"/>
  <c r="D280" i="20"/>
  <c r="D279" i="20"/>
  <c r="D278" i="20"/>
  <c r="D277" i="20"/>
  <c r="D276" i="20"/>
  <c r="D275" i="20"/>
  <c r="D274" i="20"/>
  <c r="D273" i="20"/>
  <c r="D272" i="20"/>
  <c r="D271" i="20"/>
  <c r="D270" i="20"/>
  <c r="D269" i="20"/>
  <c r="D268" i="20"/>
  <c r="D267" i="20"/>
  <c r="D266" i="20"/>
  <c r="D265" i="20"/>
  <c r="D264" i="20"/>
  <c r="D263" i="20"/>
  <c r="D262" i="20"/>
  <c r="D261" i="20"/>
  <c r="D260" i="20"/>
  <c r="D259" i="20"/>
  <c r="D258" i="20"/>
  <c r="D257" i="20"/>
  <c r="D256" i="20"/>
  <c r="D255" i="20"/>
  <c r="D254" i="20"/>
  <c r="D253" i="20"/>
  <c r="D252" i="20"/>
  <c r="D251" i="20"/>
  <c r="D250" i="20"/>
  <c r="D249" i="20"/>
  <c r="D248" i="20"/>
  <c r="D247" i="20"/>
  <c r="D246" i="20"/>
  <c r="D245" i="20"/>
  <c r="D244" i="20"/>
  <c r="D243" i="20"/>
  <c r="D242" i="20"/>
  <c r="D241" i="20"/>
  <c r="D240" i="20"/>
  <c r="D239" i="20"/>
  <c r="D238" i="20"/>
  <c r="D237" i="20"/>
  <c r="D236" i="20"/>
  <c r="D235" i="20"/>
  <c r="D234" i="20"/>
  <c r="D233" i="20"/>
  <c r="D232" i="20"/>
  <c r="D231" i="20"/>
  <c r="D230" i="20"/>
  <c r="D229" i="20"/>
  <c r="D228" i="20"/>
  <c r="D227" i="20"/>
  <c r="D226" i="20"/>
  <c r="D225" i="20"/>
  <c r="D224" i="20"/>
  <c r="D223" i="20"/>
  <c r="D222" i="20"/>
  <c r="D221" i="20"/>
  <c r="D220" i="20"/>
  <c r="D219" i="20"/>
  <c r="D218" i="20"/>
  <c r="D217" i="20"/>
  <c r="D216" i="20"/>
  <c r="D215" i="20"/>
  <c r="D214" i="20"/>
  <c r="D213" i="20"/>
  <c r="D212" i="20"/>
  <c r="D211" i="20"/>
  <c r="D210" i="20"/>
  <c r="D209" i="20"/>
  <c r="D208" i="20"/>
  <c r="D207" i="20"/>
  <c r="D206" i="20"/>
  <c r="D205" i="20"/>
  <c r="D204" i="20"/>
  <c r="D203" i="20"/>
  <c r="D202" i="20"/>
  <c r="D201" i="20"/>
  <c r="D200" i="20"/>
  <c r="D199" i="20"/>
  <c r="D198" i="20"/>
  <c r="D197" i="20"/>
  <c r="D196" i="20"/>
  <c r="D195" i="20"/>
  <c r="D194" i="20"/>
  <c r="D193" i="20"/>
  <c r="D192" i="20"/>
  <c r="D191" i="20"/>
  <c r="D190" i="20"/>
  <c r="D189" i="20"/>
  <c r="D188" i="20"/>
  <c r="D187" i="20"/>
  <c r="D186" i="20"/>
  <c r="D185" i="20"/>
  <c r="D184" i="20"/>
  <c r="D183" i="20"/>
  <c r="D182" i="20"/>
  <c r="D181" i="20"/>
  <c r="D180" i="20"/>
  <c r="D179" i="20"/>
  <c r="D178" i="20"/>
  <c r="D177" i="20"/>
  <c r="D176" i="20"/>
  <c r="D175" i="20"/>
  <c r="D174" i="20"/>
  <c r="D173" i="20"/>
  <c r="D172" i="20"/>
  <c r="D171" i="20"/>
  <c r="D170" i="20"/>
  <c r="D169" i="20"/>
  <c r="D168" i="20"/>
  <c r="D167" i="20"/>
  <c r="D166" i="20"/>
  <c r="D165" i="20"/>
  <c r="D164" i="20"/>
  <c r="D163" i="20"/>
  <c r="D162" i="20"/>
  <c r="D161" i="20"/>
  <c r="D160" i="20"/>
  <c r="D159" i="20"/>
  <c r="D158" i="20"/>
  <c r="D157" i="20"/>
  <c r="D156" i="20"/>
  <c r="D155" i="20"/>
  <c r="D154" i="20"/>
  <c r="D153" i="20"/>
  <c r="D152" i="20"/>
  <c r="D151" i="20"/>
  <c r="D150" i="20"/>
  <c r="D149" i="20"/>
  <c r="D148" i="20"/>
  <c r="D147" i="20"/>
  <c r="D146" i="20"/>
  <c r="D145" i="20"/>
  <c r="D144" i="20"/>
  <c r="D143" i="20"/>
  <c r="D142" i="20"/>
  <c r="D141" i="20"/>
  <c r="D140" i="20"/>
  <c r="D139" i="20"/>
  <c r="D138" i="20"/>
  <c r="D137" i="20"/>
  <c r="D136" i="20"/>
  <c r="D135" i="20"/>
  <c r="D134" i="20"/>
  <c r="D133" i="20"/>
  <c r="D132" i="20"/>
  <c r="D131" i="20"/>
  <c r="D130" i="20"/>
  <c r="D129" i="20"/>
  <c r="D128" i="20"/>
  <c r="D127" i="20"/>
  <c r="D126" i="20"/>
  <c r="D125" i="20"/>
  <c r="D124" i="20"/>
  <c r="D123" i="20"/>
  <c r="D122" i="20"/>
  <c r="D121" i="20"/>
  <c r="D120" i="20"/>
  <c r="D119" i="20"/>
  <c r="D118" i="20"/>
  <c r="D117" i="20"/>
  <c r="D116" i="20"/>
  <c r="D115" i="20"/>
  <c r="D114" i="20"/>
  <c r="D113" i="20"/>
  <c r="D112" i="20"/>
  <c r="D111" i="20"/>
  <c r="D110" i="20"/>
  <c r="D109" i="20"/>
  <c r="D108" i="20"/>
  <c r="D107" i="20"/>
  <c r="D106" i="20"/>
  <c r="D105" i="20"/>
  <c r="D104" i="20"/>
  <c r="D103" i="20"/>
  <c r="D102" i="20"/>
  <c r="D101" i="20"/>
  <c r="D100" i="20"/>
  <c r="D99" i="20"/>
  <c r="D98" i="20"/>
  <c r="D97" i="20"/>
  <c r="D96" i="20"/>
  <c r="D95" i="20"/>
  <c r="D94" i="20"/>
  <c r="D93" i="20"/>
  <c r="D92" i="20"/>
  <c r="D91" i="20"/>
  <c r="D90" i="20"/>
  <c r="D89" i="20"/>
  <c r="D88" i="20"/>
  <c r="D87" i="20"/>
  <c r="D86" i="20"/>
  <c r="D85" i="20"/>
  <c r="D84" i="20"/>
  <c r="D83" i="20"/>
  <c r="D82" i="20"/>
  <c r="D81" i="20"/>
  <c r="D80" i="20"/>
  <c r="D79" i="20"/>
  <c r="D78" i="20"/>
  <c r="D77" i="20"/>
  <c r="D76" i="20"/>
  <c r="D75" i="20"/>
  <c r="D74" i="20"/>
  <c r="D73" i="20"/>
  <c r="D72" i="20"/>
  <c r="D71" i="20"/>
  <c r="D70" i="20"/>
  <c r="D69" i="20"/>
  <c r="D68" i="20"/>
  <c r="D67" i="20"/>
  <c r="D66" i="20"/>
  <c r="D65" i="20"/>
  <c r="D64" i="20"/>
  <c r="D63" i="20"/>
  <c r="D62" i="20"/>
  <c r="D61" i="20"/>
  <c r="D60" i="20"/>
  <c r="D59" i="20"/>
  <c r="D58" i="20"/>
  <c r="D57" i="20"/>
  <c r="D56" i="20"/>
  <c r="D55" i="20"/>
  <c r="D54" i="20"/>
  <c r="D53" i="20"/>
  <c r="D52" i="20"/>
  <c r="D51" i="20"/>
  <c r="D50" i="20"/>
  <c r="D49" i="20"/>
  <c r="D48" i="20"/>
  <c r="D47" i="20"/>
  <c r="D46" i="20"/>
  <c r="D45" i="20"/>
  <c r="D44" i="20"/>
  <c r="D43" i="20"/>
  <c r="D42" i="20"/>
  <c r="D41" i="20"/>
  <c r="D40" i="20"/>
  <c r="D39" i="20"/>
  <c r="D38" i="20"/>
  <c r="D37" i="20"/>
  <c r="D36" i="20"/>
  <c r="D35" i="20"/>
  <c r="D34" i="20"/>
  <c r="D33" i="20"/>
  <c r="D32" i="20"/>
  <c r="D31" i="20"/>
  <c r="D30" i="20"/>
  <c r="D29" i="20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8" i="20"/>
  <c r="D7" i="20"/>
  <c r="D6" i="20"/>
  <c r="D5" i="20"/>
  <c r="D4" i="20"/>
  <c r="D3" i="20"/>
  <c r="D2" i="20"/>
  <c r="BB62" i="34" l="1"/>
  <c r="G62" i="34"/>
  <c r="BB61" i="34"/>
  <c r="AV61" i="34"/>
  <c r="AU61" i="34"/>
  <c r="G61" i="34"/>
  <c r="BB60" i="34"/>
  <c r="AU60" i="34"/>
  <c r="G60" i="34"/>
  <c r="BB59" i="34"/>
  <c r="G59" i="34"/>
  <c r="BB58" i="34"/>
  <c r="G58" i="34"/>
  <c r="BC55" i="34"/>
  <c r="BB55" i="34"/>
  <c r="G55" i="34"/>
  <c r="BC53" i="34"/>
  <c r="BB53" i="34"/>
  <c r="G53" i="34"/>
  <c r="BC52" i="34"/>
  <c r="BB52" i="34"/>
  <c r="BC51" i="34"/>
  <c r="BB51" i="34"/>
  <c r="BC46" i="34"/>
  <c r="BB46" i="34"/>
  <c r="G46" i="34"/>
  <c r="BC43" i="34"/>
  <c r="BB43" i="34"/>
  <c r="G43" i="34"/>
  <c r="BC42" i="34"/>
  <c r="BB42" i="34"/>
  <c r="BC41" i="34"/>
  <c r="BB41" i="34"/>
  <c r="BC38" i="34"/>
  <c r="BB38" i="34"/>
  <c r="G38" i="34"/>
  <c r="BC34" i="34"/>
  <c r="BB34" i="34"/>
  <c r="G34" i="34"/>
  <c r="BB30" i="34"/>
  <c r="G30" i="34"/>
  <c r="G28" i="34"/>
  <c r="BB27" i="34"/>
  <c r="G27" i="34"/>
  <c r="G26" i="34"/>
  <c r="G25" i="34"/>
  <c r="BB23" i="34"/>
  <c r="G23" i="34"/>
  <c r="G28" i="33" l="1"/>
  <c r="G25" i="33"/>
  <c r="G26" i="33"/>
  <c r="G316" i="27"/>
  <c r="AU286" i="27"/>
  <c r="G270" i="27"/>
  <c r="G65" i="11" l="1"/>
  <c r="G63" i="11"/>
  <c r="G62" i="11"/>
  <c r="G61" i="11"/>
  <c r="G60" i="11"/>
  <c r="G59" i="11"/>
  <c r="G90" i="11"/>
  <c r="AU60" i="11"/>
  <c r="G53" i="14"/>
  <c r="G265" i="15"/>
  <c r="G37" i="26"/>
  <c r="G127" i="25"/>
  <c r="G15" i="34" l="1"/>
  <c r="G42" i="26"/>
  <c r="G41" i="26"/>
  <c r="G27" i="26"/>
  <c r="G29" i="26"/>
  <c r="G26" i="26"/>
  <c r="G25" i="26"/>
  <c r="G23" i="26"/>
  <c r="G22" i="26"/>
  <c r="G21" i="26"/>
  <c r="G19" i="26"/>
  <c r="G18" i="26"/>
  <c r="G17" i="26"/>
  <c r="AU139" i="25" l="1" a="1"/>
  <c r="AU139" i="25" s="1"/>
  <c r="AU277" i="15" a="1"/>
  <c r="AU277" i="15" s="1"/>
  <c r="E409" i="14" a="1"/>
  <c r="E409" i="14" s="1"/>
  <c r="E361" i="14" a="1"/>
  <c r="E361" i="14" s="1"/>
  <c r="E337" i="14" a="1"/>
  <c r="E337" i="14" s="1"/>
  <c r="E313" i="14" a="1"/>
  <c r="E313" i="14" s="1"/>
  <c r="E281" i="14" a="1"/>
  <c r="E281" i="14" s="1"/>
  <c r="E273" i="14" a="1"/>
  <c r="E273" i="14" s="1"/>
  <c r="E265" i="14" a="1"/>
  <c r="E265" i="14" s="1"/>
  <c r="E257" i="14" a="1"/>
  <c r="E257" i="14" s="1"/>
  <c r="E256" i="14" a="1"/>
  <c r="E256" i="14" s="1"/>
  <c r="E249" i="14" a="1"/>
  <c r="E249" i="14" s="1"/>
  <c r="E241" i="14" a="1"/>
  <c r="E241" i="14" s="1"/>
  <c r="E233" i="14" a="1"/>
  <c r="E233" i="14" s="1"/>
  <c r="E232" i="14" a="1"/>
  <c r="E232" i="14" s="1"/>
  <c r="E225" i="14" a="1"/>
  <c r="E225" i="14" s="1"/>
  <c r="E217" i="14" a="1"/>
  <c r="E217" i="14" s="1"/>
  <c r="E209" i="14" a="1"/>
  <c r="E209" i="14" s="1"/>
  <c r="E208" i="14" a="1"/>
  <c r="E208" i="14" s="1"/>
  <c r="E201" i="14" a="1"/>
  <c r="E201" i="14" s="1"/>
  <c r="E193" i="14" a="1"/>
  <c r="E193" i="14" s="1"/>
  <c r="E185" i="14" a="1"/>
  <c r="E185" i="14" s="1"/>
  <c r="E184" i="14" a="1"/>
  <c r="E184" i="14" s="1"/>
  <c r="G128" i="25"/>
  <c r="AY128" i="25"/>
  <c r="AY15" i="34" s="1"/>
  <c r="AY46" i="34" s="1"/>
  <c r="AX128" i="25"/>
  <c r="AX15" i="34" s="1"/>
  <c r="AX46" i="34" s="1"/>
  <c r="AW128" i="25"/>
  <c r="AW15" i="34" s="1"/>
  <c r="AW46" i="34" s="1"/>
  <c r="AV128" i="25"/>
  <c r="AV15" i="34" s="1"/>
  <c r="AV46" i="34" s="1"/>
  <c r="AU128" i="25"/>
  <c r="AU15" i="34" s="1"/>
  <c r="AU46" i="34" s="1"/>
  <c r="G38" i="26"/>
  <c r="G266" i="15"/>
  <c r="AY266" i="15"/>
  <c r="AY15" i="33" s="1"/>
  <c r="AY46" i="33" s="1"/>
  <c r="AX266" i="15"/>
  <c r="AX15" i="33" s="1"/>
  <c r="AX46" i="33" s="1"/>
  <c r="AW266" i="15"/>
  <c r="AW15" i="33" s="1"/>
  <c r="AW46" i="33" s="1"/>
  <c r="AV266" i="15"/>
  <c r="AV15" i="33" s="1"/>
  <c r="AV46" i="33" s="1"/>
  <c r="AU266" i="15"/>
  <c r="AU15" i="33" s="1"/>
  <c r="AU46" i="33" s="1"/>
  <c r="G54" i="14"/>
  <c r="D15" i="33" a="1"/>
  <c r="D15" i="34" a="1"/>
  <c r="E289" i="14" l="1" a="1"/>
  <c r="E289" i="14" s="1"/>
  <c r="E426" i="14" a="1"/>
  <c r="E426" i="14" s="1"/>
  <c r="E329" i="14" a="1"/>
  <c r="E329" i="14" s="1"/>
  <c r="E377" i="14" a="1"/>
  <c r="E377" i="14" s="1"/>
  <c r="E385" i="14" a="1"/>
  <c r="E385" i="14" s="1"/>
  <c r="E280" i="14" a="1"/>
  <c r="E280" i="14" s="1"/>
  <c r="E328" i="14" a="1"/>
  <c r="E328" i="14" s="1"/>
  <c r="E376" i="14" a="1"/>
  <c r="E376" i="14" s="1"/>
  <c r="E424" i="14" a="1"/>
  <c r="E424" i="14" s="1"/>
  <c r="E297" i="14" a="1"/>
  <c r="E297" i="14" s="1"/>
  <c r="E345" i="14" a="1"/>
  <c r="E345" i="14" s="1"/>
  <c r="E393" i="14" a="1"/>
  <c r="E393" i="14" s="1"/>
  <c r="E321" i="14" a="1"/>
  <c r="E321" i="14" s="1"/>
  <c r="E369" i="14" a="1"/>
  <c r="E369" i="14" s="1"/>
  <c r="E417" i="14" a="1"/>
  <c r="E417" i="14" s="1"/>
  <c r="E304" i="14" a="1"/>
  <c r="E304" i="14" s="1"/>
  <c r="E352" i="14" a="1"/>
  <c r="E352" i="14" s="1"/>
  <c r="E400" i="14" a="1"/>
  <c r="E400" i="14" s="1"/>
  <c r="E305" i="14" a="1"/>
  <c r="E305" i="14" s="1"/>
  <c r="E353" i="14" a="1"/>
  <c r="E353" i="14" s="1"/>
  <c r="E401" i="14" a="1"/>
  <c r="E401" i="14" s="1"/>
  <c r="E177" i="14" a="1"/>
  <c r="E177" i="14" s="1"/>
  <c r="BB131" i="40"/>
  <c r="BB113" i="40"/>
  <c r="BB123" i="40"/>
  <c r="BB124" i="40"/>
  <c r="BA137" i="40"/>
  <c r="BB140" i="40"/>
  <c r="BA110" i="40"/>
  <c r="BA121" i="40"/>
  <c r="BA125" i="40"/>
  <c r="BB121" i="40"/>
  <c r="BA116" i="40"/>
  <c r="BA146" i="40"/>
  <c r="BB104" i="40"/>
  <c r="BB134" i="40"/>
  <c r="BA117" i="40"/>
  <c r="BA123" i="40"/>
  <c r="BA105" i="40"/>
  <c r="BA135" i="40"/>
  <c r="BB139" i="40"/>
  <c r="BA136" i="40"/>
  <c r="BA133" i="40"/>
  <c r="BB125" i="40"/>
  <c r="BA120" i="40"/>
  <c r="BB108" i="40"/>
  <c r="BB138" i="40"/>
  <c r="BA127" i="40"/>
  <c r="BA139" i="40"/>
  <c r="BB127" i="40"/>
  <c r="BB117" i="40"/>
  <c r="BA107" i="40"/>
  <c r="BB132" i="40"/>
  <c r="BA141" i="40"/>
  <c r="BB129" i="40"/>
  <c r="BA122" i="40"/>
  <c r="BB112" i="40"/>
  <c r="BB142" i="40"/>
  <c r="BA113" i="40"/>
  <c r="BB135" i="40"/>
  <c r="BB109" i="40"/>
  <c r="BB106" i="40"/>
  <c r="BA145" i="40"/>
  <c r="BB133" i="40"/>
  <c r="BA126" i="40"/>
  <c r="BB116" i="40"/>
  <c r="BB146" i="40"/>
  <c r="BA131" i="40"/>
  <c r="BB143" i="40"/>
  <c r="BB114" i="40"/>
  <c r="BA128" i="40"/>
  <c r="BA140" i="40"/>
  <c r="BB118" i="40"/>
  <c r="BA132" i="40"/>
  <c r="BB107" i="40"/>
  <c r="BB137" i="40"/>
  <c r="BA130" i="40"/>
  <c r="BB120" i="40"/>
  <c r="BA109" i="40"/>
  <c r="BA115" i="40"/>
  <c r="BA106" i="40"/>
  <c r="BA129" i="40"/>
  <c r="BB144" i="40"/>
  <c r="BA114" i="40"/>
  <c r="BB111" i="40"/>
  <c r="BB141" i="40"/>
  <c r="BA104" i="40"/>
  <c r="BA134" i="40"/>
  <c r="BB122" i="40"/>
  <c r="BA143" i="40"/>
  <c r="BA118" i="40"/>
  <c r="BA144" i="40"/>
  <c r="BA124" i="40"/>
  <c r="BA111" i="40"/>
  <c r="BB115" i="40"/>
  <c r="BB145" i="40"/>
  <c r="BA108" i="40"/>
  <c r="BA138" i="40"/>
  <c r="BB126" i="40"/>
  <c r="BB105" i="40"/>
  <c r="BB128" i="40"/>
  <c r="BB110" i="40"/>
  <c r="BB136" i="40"/>
  <c r="BA119" i="40"/>
  <c r="BB119" i="40"/>
  <c r="BA112" i="40"/>
  <c r="BA142" i="40"/>
  <c r="BB130" i="40"/>
  <c r="D15" i="34"/>
  <c r="D15" i="33"/>
  <c r="E178" i="14" a="1"/>
  <c r="E178" i="14" s="1"/>
  <c r="E186" i="14" a="1"/>
  <c r="E186" i="14" s="1"/>
  <c r="E194" i="14" a="1"/>
  <c r="E194" i="14" s="1"/>
  <c r="E202" i="14" a="1"/>
  <c r="E202" i="14" s="1"/>
  <c r="E210" i="14" a="1"/>
  <c r="E210" i="14" s="1"/>
  <c r="E218" i="14" a="1"/>
  <c r="E218" i="14" s="1"/>
  <c r="E226" i="14" a="1"/>
  <c r="E226" i="14" s="1"/>
  <c r="E234" i="14" a="1"/>
  <c r="E234" i="14" s="1"/>
  <c r="E242" i="14" a="1"/>
  <c r="E242" i="14" s="1"/>
  <c r="E250" i="14" a="1"/>
  <c r="E250" i="14" s="1"/>
  <c r="E258" i="14" a="1"/>
  <c r="E258" i="14" s="1"/>
  <c r="E266" i="14" a="1"/>
  <c r="E266" i="14" s="1"/>
  <c r="E274" i="14" a="1"/>
  <c r="E274" i="14" s="1"/>
  <c r="E282" i="14" a="1"/>
  <c r="E282" i="14" s="1"/>
  <c r="E290" i="14" a="1"/>
  <c r="E290" i="14" s="1"/>
  <c r="E298" i="14" a="1"/>
  <c r="E298" i="14" s="1"/>
  <c r="E306" i="14" a="1"/>
  <c r="E306" i="14" s="1"/>
  <c r="E314" i="14" a="1"/>
  <c r="E314" i="14" s="1"/>
  <c r="E322" i="14" a="1"/>
  <c r="E322" i="14" s="1"/>
  <c r="E330" i="14" a="1"/>
  <c r="E330" i="14" s="1"/>
  <c r="E338" i="14" a="1"/>
  <c r="E338" i="14" s="1"/>
  <c r="E346" i="14" a="1"/>
  <c r="E346" i="14" s="1"/>
  <c r="E354" i="14" a="1"/>
  <c r="E354" i="14" s="1"/>
  <c r="E362" i="14" a="1"/>
  <c r="E362" i="14" s="1"/>
  <c r="E370" i="14" a="1"/>
  <c r="E370" i="14" s="1"/>
  <c r="E378" i="14" a="1"/>
  <c r="E378" i="14" s="1"/>
  <c r="E386" i="14" a="1"/>
  <c r="E386" i="14" s="1"/>
  <c r="E394" i="14" a="1"/>
  <c r="E394" i="14" s="1"/>
  <c r="E402" i="14" a="1"/>
  <c r="E402" i="14" s="1"/>
  <c r="E410" i="14" a="1"/>
  <c r="E410" i="14" s="1"/>
  <c r="E418" i="14" a="1"/>
  <c r="E418" i="14" s="1"/>
  <c r="E428" i="14" a="1"/>
  <c r="E428" i="14" s="1"/>
  <c r="E179" i="14" a="1"/>
  <c r="E179" i="14" s="1"/>
  <c r="E187" i="14" a="1"/>
  <c r="E187" i="14" s="1"/>
  <c r="E195" i="14" a="1"/>
  <c r="E195" i="14" s="1"/>
  <c r="E203" i="14" a="1"/>
  <c r="E203" i="14" s="1"/>
  <c r="E211" i="14" a="1"/>
  <c r="E211" i="14" s="1"/>
  <c r="E219" i="14" a="1"/>
  <c r="E219" i="14" s="1"/>
  <c r="E227" i="14" a="1"/>
  <c r="E227" i="14" s="1"/>
  <c r="E235" i="14" a="1"/>
  <c r="E235" i="14" s="1"/>
  <c r="E243" i="14" a="1"/>
  <c r="E243" i="14" s="1"/>
  <c r="E251" i="14" a="1"/>
  <c r="E251" i="14" s="1"/>
  <c r="E259" i="14" a="1"/>
  <c r="E259" i="14" s="1"/>
  <c r="E267" i="14" a="1"/>
  <c r="E267" i="14" s="1"/>
  <c r="E275" i="14" a="1"/>
  <c r="E275" i="14" s="1"/>
  <c r="E283" i="14" a="1"/>
  <c r="E283" i="14" s="1"/>
  <c r="E291" i="14" a="1"/>
  <c r="E291" i="14" s="1"/>
  <c r="E299" i="14" a="1"/>
  <c r="E299" i="14" s="1"/>
  <c r="E307" i="14" a="1"/>
  <c r="E307" i="14" s="1"/>
  <c r="E315" i="14" a="1"/>
  <c r="E315" i="14" s="1"/>
  <c r="E323" i="14" a="1"/>
  <c r="E323" i="14" s="1"/>
  <c r="E331" i="14" a="1"/>
  <c r="E331" i="14" s="1"/>
  <c r="E339" i="14" a="1"/>
  <c r="E339" i="14" s="1"/>
  <c r="E347" i="14" a="1"/>
  <c r="E347" i="14" s="1"/>
  <c r="E355" i="14" a="1"/>
  <c r="E355" i="14" s="1"/>
  <c r="E363" i="14" a="1"/>
  <c r="E363" i="14" s="1"/>
  <c r="E371" i="14" a="1"/>
  <c r="E371" i="14" s="1"/>
  <c r="E379" i="14" a="1"/>
  <c r="E379" i="14" s="1"/>
  <c r="E387" i="14" a="1"/>
  <c r="E387" i="14" s="1"/>
  <c r="E395" i="14" a="1"/>
  <c r="E395" i="14" s="1"/>
  <c r="E403" i="14" a="1"/>
  <c r="E403" i="14" s="1"/>
  <c r="E411" i="14" a="1"/>
  <c r="E411" i="14" s="1"/>
  <c r="E419" i="14" a="1"/>
  <c r="E419" i="14" s="1"/>
  <c r="E180" i="14" a="1"/>
  <c r="E180" i="14" s="1"/>
  <c r="E188" i="14" a="1"/>
  <c r="E188" i="14" s="1"/>
  <c r="E196" i="14" a="1"/>
  <c r="E196" i="14" s="1"/>
  <c r="E204" i="14" a="1"/>
  <c r="E204" i="14" s="1"/>
  <c r="E212" i="14" a="1"/>
  <c r="E212" i="14" s="1"/>
  <c r="E220" i="14" a="1"/>
  <c r="E220" i="14" s="1"/>
  <c r="E228" i="14" a="1"/>
  <c r="E228" i="14" s="1"/>
  <c r="E236" i="14" a="1"/>
  <c r="E236" i="14" s="1"/>
  <c r="E244" i="14" a="1"/>
  <c r="E244" i="14" s="1"/>
  <c r="E252" i="14" a="1"/>
  <c r="E252" i="14" s="1"/>
  <c r="E260" i="14" a="1"/>
  <c r="E260" i="14" s="1"/>
  <c r="E268" i="14" a="1"/>
  <c r="E268" i="14" s="1"/>
  <c r="E276" i="14" a="1"/>
  <c r="E276" i="14" s="1"/>
  <c r="E284" i="14" a="1"/>
  <c r="E284" i="14" s="1"/>
  <c r="E292" i="14" a="1"/>
  <c r="E292" i="14" s="1"/>
  <c r="E300" i="14" a="1"/>
  <c r="E300" i="14" s="1"/>
  <c r="E308" i="14" a="1"/>
  <c r="E308" i="14" s="1"/>
  <c r="E316" i="14" a="1"/>
  <c r="E316" i="14" s="1"/>
  <c r="E324" i="14" a="1"/>
  <c r="E324" i="14" s="1"/>
  <c r="E332" i="14" a="1"/>
  <c r="E332" i="14" s="1"/>
  <c r="E340" i="14" a="1"/>
  <c r="E340" i="14" s="1"/>
  <c r="E348" i="14" a="1"/>
  <c r="E348" i="14" s="1"/>
  <c r="E356" i="14" a="1"/>
  <c r="E356" i="14" s="1"/>
  <c r="E364" i="14" a="1"/>
  <c r="E364" i="14" s="1"/>
  <c r="E372" i="14" a="1"/>
  <c r="E372" i="14" s="1"/>
  <c r="E380" i="14" a="1"/>
  <c r="E380" i="14" s="1"/>
  <c r="E388" i="14" a="1"/>
  <c r="E388" i="14" s="1"/>
  <c r="E396" i="14" a="1"/>
  <c r="E396" i="14" s="1"/>
  <c r="E404" i="14" a="1"/>
  <c r="E404" i="14" s="1"/>
  <c r="E412" i="14" a="1"/>
  <c r="E412" i="14" s="1"/>
  <c r="E420" i="14" a="1"/>
  <c r="E420" i="14" s="1"/>
  <c r="E173" i="14" a="1"/>
  <c r="E173" i="14" s="1"/>
  <c r="E181" i="14" a="1"/>
  <c r="E181" i="14" s="1"/>
  <c r="E189" i="14" a="1"/>
  <c r="E189" i="14" s="1"/>
  <c r="E197" i="14" a="1"/>
  <c r="E197" i="14" s="1"/>
  <c r="E205" i="14" a="1"/>
  <c r="E205" i="14" s="1"/>
  <c r="E213" i="14" a="1"/>
  <c r="E213" i="14" s="1"/>
  <c r="E221" i="14" a="1"/>
  <c r="E221" i="14" s="1"/>
  <c r="E229" i="14" a="1"/>
  <c r="E229" i="14" s="1"/>
  <c r="E237" i="14" a="1"/>
  <c r="E237" i="14" s="1"/>
  <c r="E245" i="14" a="1"/>
  <c r="E245" i="14" s="1"/>
  <c r="E253" i="14" a="1"/>
  <c r="E253" i="14" s="1"/>
  <c r="E261" i="14" a="1"/>
  <c r="E261" i="14" s="1"/>
  <c r="E269" i="14" a="1"/>
  <c r="E269" i="14" s="1"/>
  <c r="E277" i="14" a="1"/>
  <c r="E277" i="14" s="1"/>
  <c r="E285" i="14" a="1"/>
  <c r="E285" i="14" s="1"/>
  <c r="E293" i="14" a="1"/>
  <c r="E293" i="14" s="1"/>
  <c r="E301" i="14" a="1"/>
  <c r="E301" i="14" s="1"/>
  <c r="E309" i="14" a="1"/>
  <c r="E309" i="14" s="1"/>
  <c r="E317" i="14" a="1"/>
  <c r="E317" i="14" s="1"/>
  <c r="E325" i="14" a="1"/>
  <c r="E325" i="14" s="1"/>
  <c r="E333" i="14" a="1"/>
  <c r="E333" i="14" s="1"/>
  <c r="E341" i="14" a="1"/>
  <c r="E341" i="14" s="1"/>
  <c r="E349" i="14" a="1"/>
  <c r="E349" i="14" s="1"/>
  <c r="E357" i="14" a="1"/>
  <c r="E357" i="14" s="1"/>
  <c r="E365" i="14" a="1"/>
  <c r="E365" i="14" s="1"/>
  <c r="E373" i="14" a="1"/>
  <c r="E373" i="14" s="1"/>
  <c r="E381" i="14" a="1"/>
  <c r="E381" i="14" s="1"/>
  <c r="E389" i="14" a="1"/>
  <c r="E389" i="14" s="1"/>
  <c r="E397" i="14" a="1"/>
  <c r="E397" i="14" s="1"/>
  <c r="E405" i="14" a="1"/>
  <c r="E405" i="14" s="1"/>
  <c r="E413" i="14" a="1"/>
  <c r="E413" i="14" s="1"/>
  <c r="E421" i="14" a="1"/>
  <c r="E421" i="14" s="1"/>
  <c r="E174" i="14" a="1"/>
  <c r="E174" i="14" s="1"/>
  <c r="E182" i="14" a="1"/>
  <c r="E182" i="14" s="1"/>
  <c r="E190" i="14" a="1"/>
  <c r="E190" i="14" s="1"/>
  <c r="E198" i="14" a="1"/>
  <c r="E198" i="14" s="1"/>
  <c r="E206" i="14" a="1"/>
  <c r="E206" i="14" s="1"/>
  <c r="E214" i="14" a="1"/>
  <c r="E214" i="14" s="1"/>
  <c r="E222" i="14" a="1"/>
  <c r="E222" i="14" s="1"/>
  <c r="E230" i="14" a="1"/>
  <c r="E230" i="14" s="1"/>
  <c r="E238" i="14" a="1"/>
  <c r="E238" i="14" s="1"/>
  <c r="E246" i="14" a="1"/>
  <c r="E246" i="14" s="1"/>
  <c r="E254" i="14" a="1"/>
  <c r="E254" i="14" s="1"/>
  <c r="E262" i="14" a="1"/>
  <c r="E262" i="14" s="1"/>
  <c r="E270" i="14" a="1"/>
  <c r="E270" i="14" s="1"/>
  <c r="E278" i="14" a="1"/>
  <c r="E278" i="14" s="1"/>
  <c r="E286" i="14" a="1"/>
  <c r="E286" i="14" s="1"/>
  <c r="E294" i="14" a="1"/>
  <c r="E294" i="14" s="1"/>
  <c r="E302" i="14" a="1"/>
  <c r="E302" i="14" s="1"/>
  <c r="E310" i="14" a="1"/>
  <c r="E310" i="14" s="1"/>
  <c r="E318" i="14" a="1"/>
  <c r="E318" i="14" s="1"/>
  <c r="E326" i="14" a="1"/>
  <c r="E326" i="14" s="1"/>
  <c r="E334" i="14" a="1"/>
  <c r="E334" i="14" s="1"/>
  <c r="E342" i="14" a="1"/>
  <c r="E342" i="14" s="1"/>
  <c r="E350" i="14" a="1"/>
  <c r="E350" i="14" s="1"/>
  <c r="E358" i="14" a="1"/>
  <c r="E358" i="14" s="1"/>
  <c r="E366" i="14" a="1"/>
  <c r="E366" i="14" s="1"/>
  <c r="E374" i="14" a="1"/>
  <c r="E374" i="14" s="1"/>
  <c r="E382" i="14" a="1"/>
  <c r="E382" i="14" s="1"/>
  <c r="E390" i="14" a="1"/>
  <c r="E390" i="14" s="1"/>
  <c r="E398" i="14" a="1"/>
  <c r="E398" i="14" s="1"/>
  <c r="E406" i="14" a="1"/>
  <c r="E406" i="14" s="1"/>
  <c r="E414" i="14" a="1"/>
  <c r="E414" i="14" s="1"/>
  <c r="E422" i="14" a="1"/>
  <c r="E422" i="14" s="1"/>
  <c r="E175" i="14" a="1"/>
  <c r="E175" i="14" s="1"/>
  <c r="E183" i="14" a="1"/>
  <c r="E183" i="14" s="1"/>
  <c r="E191" i="14" a="1"/>
  <c r="E191" i="14" s="1"/>
  <c r="E199" i="14" a="1"/>
  <c r="E199" i="14" s="1"/>
  <c r="E207" i="14" a="1"/>
  <c r="E207" i="14" s="1"/>
  <c r="E215" i="14" a="1"/>
  <c r="E215" i="14" s="1"/>
  <c r="E223" i="14" a="1"/>
  <c r="E223" i="14" s="1"/>
  <c r="E231" i="14" a="1"/>
  <c r="E231" i="14" s="1"/>
  <c r="E239" i="14" a="1"/>
  <c r="E239" i="14" s="1"/>
  <c r="E247" i="14" a="1"/>
  <c r="E247" i="14" s="1"/>
  <c r="E255" i="14" a="1"/>
  <c r="E255" i="14" s="1"/>
  <c r="E263" i="14" a="1"/>
  <c r="E263" i="14" s="1"/>
  <c r="E271" i="14" a="1"/>
  <c r="E271" i="14" s="1"/>
  <c r="E279" i="14" a="1"/>
  <c r="E279" i="14" s="1"/>
  <c r="E287" i="14" a="1"/>
  <c r="E287" i="14" s="1"/>
  <c r="E295" i="14" a="1"/>
  <c r="E295" i="14" s="1"/>
  <c r="E303" i="14" a="1"/>
  <c r="E303" i="14" s="1"/>
  <c r="E311" i="14" a="1"/>
  <c r="E311" i="14" s="1"/>
  <c r="E319" i="14" a="1"/>
  <c r="E319" i="14" s="1"/>
  <c r="E327" i="14" a="1"/>
  <c r="E327" i="14" s="1"/>
  <c r="E335" i="14" a="1"/>
  <c r="E335" i="14" s="1"/>
  <c r="E343" i="14" a="1"/>
  <c r="E343" i="14" s="1"/>
  <c r="E351" i="14" a="1"/>
  <c r="E351" i="14" s="1"/>
  <c r="E359" i="14" a="1"/>
  <c r="E359" i="14" s="1"/>
  <c r="E367" i="14" a="1"/>
  <c r="E367" i="14" s="1"/>
  <c r="E375" i="14" a="1"/>
  <c r="E375" i="14" s="1"/>
  <c r="E383" i="14" a="1"/>
  <c r="E383" i="14" s="1"/>
  <c r="E391" i="14" a="1"/>
  <c r="E391" i="14" s="1"/>
  <c r="E399" i="14" a="1"/>
  <c r="E399" i="14" s="1"/>
  <c r="E407" i="14" a="1"/>
  <c r="E407" i="14" s="1"/>
  <c r="E415" i="14" a="1"/>
  <c r="E415" i="14" s="1"/>
  <c r="E423" i="14" a="1"/>
  <c r="E423" i="14" s="1"/>
  <c r="E176" i="14" a="1"/>
  <c r="E176" i="14" s="1"/>
  <c r="E192" i="14" a="1"/>
  <c r="E192" i="14" s="1"/>
  <c r="E200" i="14" a="1"/>
  <c r="E200" i="14" s="1"/>
  <c r="E216" i="14" a="1"/>
  <c r="E216" i="14" s="1"/>
  <c r="E224" i="14" a="1"/>
  <c r="E224" i="14" s="1"/>
  <c r="E240" i="14" a="1"/>
  <c r="E240" i="14" s="1"/>
  <c r="E248" i="14" a="1"/>
  <c r="E248" i="14" s="1"/>
  <c r="E264" i="14" a="1"/>
  <c r="E264" i="14" s="1"/>
  <c r="E272" i="14" a="1"/>
  <c r="E272" i="14" s="1"/>
  <c r="E288" i="14" a="1"/>
  <c r="E288" i="14" s="1"/>
  <c r="E296" i="14" a="1"/>
  <c r="E296" i="14" s="1"/>
  <c r="E312" i="14" a="1"/>
  <c r="E312" i="14" s="1"/>
  <c r="E320" i="14" a="1"/>
  <c r="E320" i="14" s="1"/>
  <c r="E336" i="14" a="1"/>
  <c r="E336" i="14" s="1"/>
  <c r="E344" i="14" a="1"/>
  <c r="E344" i="14" s="1"/>
  <c r="E360" i="14" a="1"/>
  <c r="E360" i="14" s="1"/>
  <c r="E368" i="14" a="1"/>
  <c r="E368" i="14" s="1"/>
  <c r="E384" i="14" a="1"/>
  <c r="E384" i="14" s="1"/>
  <c r="E392" i="14" a="1"/>
  <c r="E392" i="14" s="1"/>
  <c r="E408" i="14" a="1"/>
  <c r="E408" i="14" s="1"/>
  <c r="E416" i="14" a="1"/>
  <c r="E416" i="14" s="1"/>
  <c r="E427" i="14" a="1"/>
  <c r="E427" i="14" s="1"/>
  <c r="E429" i="14" a="1"/>
  <c r="E429" i="14" s="1"/>
  <c r="E430" i="14" a="1"/>
  <c r="E430" i="14" s="1"/>
  <c r="E425" i="14" a="1"/>
  <c r="E425" i="14" s="1"/>
  <c r="AU104" i="40" l="1"/>
  <c r="AV104" i="40"/>
  <c r="AU115" i="40"/>
  <c r="AW111" i="40"/>
  <c r="AY128" i="40"/>
  <c r="AV137" i="40"/>
  <c r="AY111" i="40"/>
  <c r="AW117" i="40"/>
  <c r="AW114" i="40"/>
  <c r="AY124" i="40"/>
  <c r="AU136" i="40"/>
  <c r="AY107" i="40"/>
  <c r="AV139" i="40"/>
  <c r="AV116" i="40"/>
  <c r="AW129" i="40"/>
  <c r="AX104" i="40"/>
  <c r="AX134" i="40"/>
  <c r="AV125" i="40"/>
  <c r="AW119" i="40"/>
  <c r="AX136" i="40"/>
  <c r="AW108" i="40"/>
  <c r="AW122" i="40"/>
  <c r="AW138" i="40"/>
  <c r="AV118" i="40"/>
  <c r="AV132" i="40"/>
  <c r="AX113" i="40"/>
  <c r="AU134" i="40"/>
  <c r="AY105" i="40"/>
  <c r="AY127" i="40"/>
  <c r="AY136" i="40"/>
  <c r="AV145" i="40"/>
  <c r="AY119" i="40"/>
  <c r="AY131" i="40"/>
  <c r="AV106" i="40"/>
  <c r="AV109" i="40"/>
  <c r="AX129" i="40"/>
  <c r="AU130" i="40"/>
  <c r="AX107" i="40"/>
  <c r="AU139" i="40"/>
  <c r="AY110" i="40"/>
  <c r="AW144" i="40"/>
  <c r="AV123" i="40"/>
  <c r="AX131" i="40"/>
  <c r="AU111" i="40"/>
  <c r="AU141" i="40"/>
  <c r="AY126" i="40"/>
  <c r="AW141" i="40"/>
  <c r="AU110" i="40"/>
  <c r="AU124" i="40"/>
  <c r="AU140" i="40"/>
  <c r="AW105" i="40"/>
  <c r="AW135" i="40"/>
  <c r="AW118" i="40"/>
  <c r="AX135" i="40"/>
  <c r="AY113" i="40"/>
  <c r="AW140" i="40"/>
  <c r="AX143" i="40"/>
  <c r="AV112" i="40"/>
  <c r="AY144" i="40"/>
  <c r="AY108" i="40"/>
  <c r="AY125" i="40"/>
  <c r="AW115" i="40"/>
  <c r="AW121" i="40"/>
  <c r="AX123" i="40"/>
  <c r="AV146" i="40"/>
  <c r="AW134" i="40"/>
  <c r="AY109" i="40"/>
  <c r="AV144" i="40"/>
  <c r="AU116" i="40"/>
  <c r="AU123" i="40"/>
  <c r="AW128" i="40"/>
  <c r="AU106" i="40"/>
  <c r="AX137" i="40"/>
  <c r="AX112" i="40"/>
  <c r="AX142" i="40"/>
  <c r="AV133" i="40"/>
  <c r="AU143" i="40"/>
  <c r="AX111" i="40"/>
  <c r="AX125" i="40"/>
  <c r="AX141" i="40"/>
  <c r="AU107" i="40"/>
  <c r="AU121" i="40"/>
  <c r="AU137" i="40"/>
  <c r="AU120" i="40"/>
  <c r="AY135" i="40"/>
  <c r="AV120" i="40"/>
  <c r="AY116" i="40"/>
  <c r="AX110" i="40"/>
  <c r="AY133" i="40"/>
  <c r="AY129" i="40"/>
  <c r="AY137" i="40"/>
  <c r="AY140" i="40"/>
  <c r="AW107" i="40"/>
  <c r="AV138" i="40"/>
  <c r="AY115" i="40"/>
  <c r="AW120" i="40"/>
  <c r="AV128" i="40"/>
  <c r="AW131" i="40"/>
  <c r="AU109" i="40"/>
  <c r="AY139" i="40"/>
  <c r="AU119" i="40"/>
  <c r="AY104" i="40"/>
  <c r="AY134" i="40"/>
  <c r="AU105" i="40"/>
  <c r="AW125" i="40"/>
  <c r="AX144" i="40"/>
  <c r="AV113" i="40"/>
  <c r="AV127" i="40"/>
  <c r="AV143" i="40"/>
  <c r="AX108" i="40"/>
  <c r="AX122" i="40"/>
  <c r="AX138" i="40"/>
  <c r="AU142" i="40"/>
  <c r="AY143" i="40"/>
  <c r="AV126" i="40"/>
  <c r="AV107" i="40"/>
  <c r="AY122" i="40"/>
  <c r="AX118" i="40"/>
  <c r="AY141" i="40"/>
  <c r="AX109" i="40"/>
  <c r="AU144" i="40"/>
  <c r="AY118" i="40"/>
  <c r="AV122" i="40"/>
  <c r="AV131" i="40"/>
  <c r="AW104" i="40"/>
  <c r="AW137" i="40"/>
  <c r="AV114" i="40"/>
  <c r="AY145" i="40"/>
  <c r="AX120" i="40"/>
  <c r="AV111" i="40"/>
  <c r="AV141" i="40"/>
  <c r="AX106" i="40"/>
  <c r="AU127" i="40"/>
  <c r="AW116" i="40"/>
  <c r="AW130" i="40"/>
  <c r="AW146" i="40"/>
  <c r="AV110" i="40"/>
  <c r="AV124" i="40"/>
  <c r="AV140" i="40"/>
  <c r="AW124" i="40"/>
  <c r="AV134" i="40"/>
  <c r="AY106" i="40"/>
  <c r="AV115" i="40"/>
  <c r="AY130" i="40"/>
  <c r="AX124" i="40"/>
  <c r="AW106" i="40"/>
  <c r="AW109" i="40"/>
  <c r="AX115" i="40"/>
  <c r="AU122" i="40"/>
  <c r="AU128" i="40"/>
  <c r="AW136" i="40"/>
  <c r="AV108" i="40"/>
  <c r="AX139" i="40"/>
  <c r="AV117" i="40"/>
  <c r="AU125" i="40"/>
  <c r="AY112" i="40"/>
  <c r="AY142" i="40"/>
  <c r="AX128" i="40"/>
  <c r="AU118" i="40"/>
  <c r="AU132" i="40"/>
  <c r="AW113" i="40"/>
  <c r="AW127" i="40"/>
  <c r="AW143" i="40"/>
  <c r="AX105" i="40"/>
  <c r="AU126" i="40"/>
  <c r="AV142" i="40"/>
  <c r="AY114" i="40"/>
  <c r="AV121" i="40"/>
  <c r="AY138" i="40"/>
  <c r="AX132" i="40"/>
  <c r="AX117" i="40"/>
  <c r="AX121" i="40"/>
  <c r="AY123" i="40"/>
  <c r="AY117" i="40"/>
  <c r="AW126" i="40"/>
  <c r="AU131" i="40"/>
  <c r="AU108" i="40"/>
  <c r="AW139" i="40"/>
  <c r="AU114" i="40"/>
  <c r="AX145" i="40"/>
  <c r="AX126" i="40"/>
  <c r="AV119" i="40"/>
  <c r="AU113" i="40"/>
  <c r="AW133" i="40"/>
  <c r="AX119" i="40"/>
  <c r="AX133" i="40"/>
  <c r="AU129" i="40"/>
  <c r="AU145" i="40"/>
  <c r="AW110" i="40"/>
  <c r="AX127" i="40"/>
  <c r="AV129" i="40"/>
  <c r="AY146" i="40"/>
  <c r="AX140" i="40"/>
  <c r="AY132" i="40"/>
  <c r="AU138" i="40"/>
  <c r="AU146" i="40"/>
  <c r="AY121" i="40"/>
  <c r="AV130" i="40"/>
  <c r="AW142" i="40"/>
  <c r="AV136" i="40"/>
  <c r="AW112" i="40"/>
  <c r="AW145" i="40"/>
  <c r="AU117" i="40"/>
  <c r="AW123" i="40"/>
  <c r="AU133" i="40"/>
  <c r="AY120" i="40"/>
  <c r="AX114" i="40"/>
  <c r="AU135" i="40"/>
  <c r="AV105" i="40"/>
  <c r="AV135" i="40"/>
  <c r="AX116" i="40"/>
  <c r="AX130" i="40"/>
  <c r="AX146" i="40"/>
  <c r="AU112" i="40"/>
  <c r="AW132" i="40"/>
  <c r="G41" i="8"/>
  <c r="I10" i="40" l="1"/>
  <c r="BC125" i="40"/>
  <c r="BC105" i="40"/>
  <c r="BC129" i="40"/>
  <c r="BC142" i="40"/>
  <c r="BC107" i="40"/>
  <c r="BC143" i="40"/>
  <c r="BC138" i="40"/>
  <c r="BC144" i="40"/>
  <c r="BC117" i="40"/>
  <c r="BC115" i="40"/>
  <c r="BC122" i="40"/>
  <c r="BC123" i="40"/>
  <c r="BC118" i="40"/>
  <c r="BC120" i="40"/>
  <c r="BC108" i="40"/>
  <c r="BC133" i="40"/>
  <c r="BC113" i="40"/>
  <c r="BC121" i="40"/>
  <c r="BC131" i="40"/>
  <c r="BC132" i="40"/>
  <c r="BC135" i="40"/>
  <c r="BC119" i="40"/>
  <c r="BC110" i="40"/>
  <c r="BC134" i="40"/>
  <c r="BC136" i="40"/>
  <c r="BC109" i="40"/>
  <c r="BC116" i="40"/>
  <c r="BC146" i="40"/>
  <c r="BC137" i="40"/>
  <c r="BC139" i="40"/>
  <c r="BC145" i="40"/>
  <c r="BC141" i="40"/>
  <c r="BC126" i="40"/>
  <c r="BC128" i="40"/>
  <c r="BC111" i="40"/>
  <c r="BC130" i="40"/>
  <c r="BC112" i="40"/>
  <c r="BC140" i="40"/>
  <c r="BC114" i="40"/>
  <c r="BC127" i="40"/>
  <c r="BC106" i="40"/>
  <c r="BC124" i="40"/>
  <c r="BC104" i="40"/>
  <c r="G36" i="26"/>
  <c r="G52" i="14"/>
  <c r="G136" i="15"/>
  <c r="G62" i="25"/>
  <c r="G58" i="14"/>
  <c r="G57" i="14"/>
  <c r="G279" i="15" s="1"/>
  <c r="G45" i="26"/>
  <c r="G29" i="9"/>
  <c r="G35" i="13"/>
  <c r="G34" i="13"/>
  <c r="G33" i="13"/>
  <c r="G32" i="13"/>
  <c r="G31" i="13"/>
  <c r="G30" i="13"/>
  <c r="G56" i="13"/>
  <c r="G105" i="13"/>
  <c r="G155" i="27"/>
  <c r="BC53" i="27"/>
  <c r="BB53" i="27"/>
  <c r="BB57" i="13"/>
  <c r="BB56" i="13"/>
  <c r="BB80" i="25"/>
  <c r="BD162" i="15"/>
  <c r="BC162" i="15"/>
  <c r="BB162" i="15"/>
  <c r="BD161" i="15"/>
  <c r="BC161" i="15"/>
  <c r="BB161" i="15"/>
  <c r="BC136" i="15"/>
  <c r="BB136" i="15"/>
  <c r="BD124" i="26"/>
  <c r="BB124" i="26"/>
  <c r="BD123" i="26"/>
  <c r="BB123" i="26"/>
  <c r="BD122" i="26"/>
  <c r="BB122" i="26"/>
  <c r="BD121" i="26"/>
  <c r="BB121" i="26"/>
  <c r="BD93" i="26"/>
  <c r="BB93" i="26"/>
  <c r="BD92" i="26"/>
  <c r="BB92" i="26"/>
  <c r="BD73" i="26"/>
  <c r="BC73" i="26"/>
  <c r="BB73" i="26"/>
  <c r="BD72" i="26"/>
  <c r="BC72" i="26"/>
  <c r="BB72" i="26"/>
  <c r="I11" i="40" l="1"/>
  <c r="G283" i="15"/>
  <c r="AW264" i="15"/>
  <c r="I3" i="25"/>
  <c r="I3" i="2"/>
  <c r="I3" i="4"/>
  <c r="I3" i="32"/>
  <c r="I3" i="22"/>
  <c r="I3" i="8"/>
  <c r="I3" i="9"/>
  <c r="I3" i="13"/>
  <c r="I3" i="11"/>
  <c r="I3" i="27"/>
  <c r="I3" i="12"/>
  <c r="I3" i="29"/>
  <c r="I3" i="33"/>
  <c r="I3" i="34"/>
  <c r="I3" i="15"/>
  <c r="I3" i="35"/>
  <c r="AU3" i="34"/>
  <c r="AU3" i="33"/>
  <c r="AU3" i="29"/>
  <c r="AU3" i="12"/>
  <c r="AU3" i="27"/>
  <c r="AU3" i="11"/>
  <c r="AU3" i="13"/>
  <c r="AU3" i="9"/>
  <c r="AU3" i="8"/>
  <c r="AU3" i="22"/>
  <c r="AU3" i="32"/>
  <c r="AU3" i="4"/>
  <c r="AU3" i="2"/>
  <c r="AU3" i="25"/>
  <c r="AU3" i="15"/>
  <c r="AU3" i="35"/>
  <c r="AW52" i="35"/>
  <c r="AV52" i="35"/>
  <c r="AU52" i="35"/>
  <c r="AY4" i="34"/>
  <c r="AX4" i="34"/>
  <c r="AW4" i="34"/>
  <c r="AV4" i="34"/>
  <c r="AU4" i="34"/>
  <c r="AT4" i="34"/>
  <c r="AS4" i="34"/>
  <c r="AR4" i="34"/>
  <c r="AQ4" i="34"/>
  <c r="AP4" i="34"/>
  <c r="AO4" i="34"/>
  <c r="AN4" i="34"/>
  <c r="AM4" i="34"/>
  <c r="AL4" i="34"/>
  <c r="AK4" i="34"/>
  <c r="AJ4" i="34"/>
  <c r="AI4" i="34"/>
  <c r="AH4" i="34"/>
  <c r="AG4" i="34"/>
  <c r="AF4" i="34"/>
  <c r="AE4" i="34"/>
  <c r="AD4" i="34"/>
  <c r="AC4" i="34"/>
  <c r="AB4" i="34"/>
  <c r="AA4" i="34"/>
  <c r="Z4" i="34"/>
  <c r="Y4" i="34"/>
  <c r="X4" i="34"/>
  <c r="W4" i="34"/>
  <c r="V4" i="34"/>
  <c r="U4" i="34"/>
  <c r="T4" i="34"/>
  <c r="S4" i="34"/>
  <c r="R4" i="34"/>
  <c r="Q4" i="34"/>
  <c r="P4" i="34"/>
  <c r="O4" i="34"/>
  <c r="N4" i="34"/>
  <c r="M4" i="34"/>
  <c r="L4" i="34"/>
  <c r="K4" i="34"/>
  <c r="AY4" i="33"/>
  <c r="AX4" i="33"/>
  <c r="AW4" i="33"/>
  <c r="AV4" i="33"/>
  <c r="AU4" i="33"/>
  <c r="AT4" i="33"/>
  <c r="AS4" i="33"/>
  <c r="AR4" i="33"/>
  <c r="AQ4" i="33"/>
  <c r="AP4" i="33"/>
  <c r="AO4" i="33"/>
  <c r="AN4" i="33"/>
  <c r="AM4" i="33"/>
  <c r="AL4" i="33"/>
  <c r="AK4" i="33"/>
  <c r="AJ4" i="33"/>
  <c r="AI4" i="33"/>
  <c r="AH4" i="33"/>
  <c r="AG4" i="33"/>
  <c r="AF4" i="33"/>
  <c r="AE4" i="33"/>
  <c r="AD4" i="33"/>
  <c r="AC4" i="33"/>
  <c r="AB4" i="33"/>
  <c r="AA4" i="33"/>
  <c r="Z4" i="33"/>
  <c r="Y4" i="33"/>
  <c r="X4" i="33"/>
  <c r="W4" i="33"/>
  <c r="V4" i="33"/>
  <c r="U4" i="33"/>
  <c r="T4" i="33"/>
  <c r="S4" i="33"/>
  <c r="R4" i="33"/>
  <c r="Q4" i="33"/>
  <c r="P4" i="33"/>
  <c r="O4" i="33"/>
  <c r="N4" i="33"/>
  <c r="M4" i="33"/>
  <c r="L4" i="33"/>
  <c r="K4" i="33"/>
  <c r="AY4" i="12"/>
  <c r="AX4" i="12"/>
  <c r="AW4" i="12"/>
  <c r="AV4" i="12"/>
  <c r="AU4" i="12"/>
  <c r="AT4" i="12"/>
  <c r="AS4" i="12"/>
  <c r="AR4" i="12"/>
  <c r="AQ4" i="12"/>
  <c r="AP4" i="12"/>
  <c r="AO4" i="12"/>
  <c r="AN4" i="12"/>
  <c r="AM4" i="12"/>
  <c r="AL4" i="12"/>
  <c r="AK4" i="12"/>
  <c r="AJ4" i="12"/>
  <c r="AI4" i="12"/>
  <c r="AH4" i="12"/>
  <c r="AG4" i="12"/>
  <c r="AF4" i="12"/>
  <c r="AE4" i="12"/>
  <c r="AD4" i="12"/>
  <c r="AC4" i="12"/>
  <c r="AB4" i="12"/>
  <c r="AA4" i="12"/>
  <c r="Z4" i="12"/>
  <c r="Y4" i="12"/>
  <c r="X4" i="12"/>
  <c r="W4" i="12"/>
  <c r="V4" i="12"/>
  <c r="U4" i="12"/>
  <c r="T4" i="12"/>
  <c r="S4" i="12"/>
  <c r="R4" i="12"/>
  <c r="Q4" i="12"/>
  <c r="P4" i="12"/>
  <c r="O4" i="12"/>
  <c r="N4" i="12"/>
  <c r="M4" i="12"/>
  <c r="L4" i="12"/>
  <c r="K4" i="12"/>
  <c r="AY4" i="27"/>
  <c r="AX4" i="27"/>
  <c r="AW4" i="27"/>
  <c r="AV4" i="27"/>
  <c r="AU4" i="27"/>
  <c r="AT4" i="27"/>
  <c r="AS4" i="27"/>
  <c r="AR4" i="27"/>
  <c r="AQ4" i="27"/>
  <c r="AP4" i="27"/>
  <c r="AO4" i="27"/>
  <c r="AN4" i="27"/>
  <c r="AM4" i="27"/>
  <c r="AL4" i="27"/>
  <c r="AK4" i="27"/>
  <c r="AJ4" i="27"/>
  <c r="AI4" i="27"/>
  <c r="AH4" i="27"/>
  <c r="AG4" i="27"/>
  <c r="AF4" i="27"/>
  <c r="AE4" i="27"/>
  <c r="AD4" i="27"/>
  <c r="AC4" i="27"/>
  <c r="AB4" i="27"/>
  <c r="AA4" i="27"/>
  <c r="Z4" i="27"/>
  <c r="Y4" i="27"/>
  <c r="X4" i="27"/>
  <c r="W4" i="27"/>
  <c r="V4" i="27"/>
  <c r="U4" i="27"/>
  <c r="T4" i="27"/>
  <c r="S4" i="27"/>
  <c r="R4" i="27"/>
  <c r="Q4" i="27"/>
  <c r="P4" i="27"/>
  <c r="O4" i="27"/>
  <c r="N4" i="27"/>
  <c r="M4" i="27"/>
  <c r="L4" i="27"/>
  <c r="K4" i="27"/>
  <c r="AY4" i="11"/>
  <c r="AX4" i="11"/>
  <c r="AW4" i="11"/>
  <c r="AV4" i="11"/>
  <c r="AU4" i="11"/>
  <c r="AT4" i="11"/>
  <c r="AS4" i="11"/>
  <c r="AR4" i="11"/>
  <c r="AQ4" i="11"/>
  <c r="AP4" i="11"/>
  <c r="AO4" i="11"/>
  <c r="AN4" i="11"/>
  <c r="AM4" i="11"/>
  <c r="AL4" i="11"/>
  <c r="AK4" i="11"/>
  <c r="AJ4" i="11"/>
  <c r="AI4" i="11"/>
  <c r="AH4" i="11"/>
  <c r="AG4" i="11"/>
  <c r="AF4" i="11"/>
  <c r="AE4" i="11"/>
  <c r="AD4" i="11"/>
  <c r="AC4" i="11"/>
  <c r="AB4" i="11"/>
  <c r="AA4" i="11"/>
  <c r="Z4" i="11"/>
  <c r="Y4" i="11"/>
  <c r="X4" i="11"/>
  <c r="W4" i="11"/>
  <c r="V4" i="11"/>
  <c r="U4" i="11"/>
  <c r="T4" i="11"/>
  <c r="S4" i="11"/>
  <c r="R4" i="11"/>
  <c r="Q4" i="11"/>
  <c r="P4" i="11"/>
  <c r="O4" i="11"/>
  <c r="N4" i="11"/>
  <c r="M4" i="11"/>
  <c r="L4" i="11"/>
  <c r="K4" i="11"/>
  <c r="AY4" i="13"/>
  <c r="AX4" i="13"/>
  <c r="AW4" i="13"/>
  <c r="AV4" i="13"/>
  <c r="AU4" i="13"/>
  <c r="AT4" i="13"/>
  <c r="AS4" i="13"/>
  <c r="AR4" i="13"/>
  <c r="AQ4" i="13"/>
  <c r="AP4" i="13"/>
  <c r="AO4" i="13"/>
  <c r="AN4" i="13"/>
  <c r="AM4" i="13"/>
  <c r="AL4" i="13"/>
  <c r="AK4" i="13"/>
  <c r="AJ4" i="13"/>
  <c r="AI4" i="13"/>
  <c r="AH4" i="13"/>
  <c r="AG4" i="13"/>
  <c r="AF4" i="13"/>
  <c r="AE4" i="13"/>
  <c r="AD4" i="13"/>
  <c r="AC4" i="13"/>
  <c r="AB4" i="13"/>
  <c r="AA4" i="13"/>
  <c r="Z4" i="13"/>
  <c r="Y4" i="13"/>
  <c r="X4" i="13"/>
  <c r="W4" i="13"/>
  <c r="V4" i="13"/>
  <c r="U4" i="13"/>
  <c r="T4" i="13"/>
  <c r="S4" i="13"/>
  <c r="R4" i="13"/>
  <c r="Q4" i="13"/>
  <c r="P4" i="13"/>
  <c r="O4" i="13"/>
  <c r="N4" i="13"/>
  <c r="M4" i="13"/>
  <c r="L4" i="13"/>
  <c r="K4" i="13"/>
  <c r="AY4" i="9"/>
  <c r="AX4" i="9"/>
  <c r="AW4" i="9"/>
  <c r="AV4" i="9"/>
  <c r="AU4" i="9"/>
  <c r="AT4" i="9"/>
  <c r="AS4" i="9"/>
  <c r="AR4" i="9"/>
  <c r="AQ4" i="9"/>
  <c r="AP4" i="9"/>
  <c r="AO4" i="9"/>
  <c r="AN4" i="9"/>
  <c r="AM4" i="9"/>
  <c r="AL4" i="9"/>
  <c r="AK4" i="9"/>
  <c r="AJ4" i="9"/>
  <c r="AI4" i="9"/>
  <c r="AH4" i="9"/>
  <c r="AG4" i="9"/>
  <c r="AF4" i="9"/>
  <c r="AE4" i="9"/>
  <c r="AD4" i="9"/>
  <c r="AC4" i="9"/>
  <c r="AB4" i="9"/>
  <c r="AA4" i="9"/>
  <c r="Z4" i="9"/>
  <c r="Y4" i="9"/>
  <c r="X4" i="9"/>
  <c r="W4" i="9"/>
  <c r="V4" i="9"/>
  <c r="U4" i="9"/>
  <c r="T4" i="9"/>
  <c r="S4" i="9"/>
  <c r="R4" i="9"/>
  <c r="Q4" i="9"/>
  <c r="P4" i="9"/>
  <c r="O4" i="9"/>
  <c r="N4" i="9"/>
  <c r="M4" i="9"/>
  <c r="L4" i="9"/>
  <c r="K4" i="9"/>
  <c r="AY4" i="8"/>
  <c r="AX4" i="8"/>
  <c r="AW4" i="8"/>
  <c r="AV4" i="8"/>
  <c r="AU4" i="8"/>
  <c r="AT4" i="8"/>
  <c r="AS4" i="8"/>
  <c r="AR4" i="8"/>
  <c r="AQ4" i="8"/>
  <c r="AP4" i="8"/>
  <c r="AO4" i="8"/>
  <c r="AN4" i="8"/>
  <c r="AM4" i="8"/>
  <c r="AL4" i="8"/>
  <c r="AK4" i="8"/>
  <c r="AJ4" i="8"/>
  <c r="AI4" i="8"/>
  <c r="AH4" i="8"/>
  <c r="AG4" i="8"/>
  <c r="AF4" i="8"/>
  <c r="AE4" i="8"/>
  <c r="AD4" i="8"/>
  <c r="AC4" i="8"/>
  <c r="AB4" i="8"/>
  <c r="AA4" i="8"/>
  <c r="Z4" i="8"/>
  <c r="Y4" i="8"/>
  <c r="X4" i="8"/>
  <c r="W4" i="8"/>
  <c r="V4" i="8"/>
  <c r="U4" i="8"/>
  <c r="T4" i="8"/>
  <c r="S4" i="8"/>
  <c r="R4" i="8"/>
  <c r="Q4" i="8"/>
  <c r="P4" i="8"/>
  <c r="O4" i="8"/>
  <c r="N4" i="8"/>
  <c r="M4" i="8"/>
  <c r="L4" i="8"/>
  <c r="K4" i="8"/>
  <c r="AY4" i="22"/>
  <c r="AX4" i="22"/>
  <c r="AW4" i="22"/>
  <c r="AV4" i="22"/>
  <c r="AU4" i="22"/>
  <c r="AT4" i="22"/>
  <c r="AS4" i="22"/>
  <c r="AR4" i="22"/>
  <c r="AQ4" i="22"/>
  <c r="AP4" i="22"/>
  <c r="AO4" i="22"/>
  <c r="AN4" i="22"/>
  <c r="AM4" i="22"/>
  <c r="AL4" i="22"/>
  <c r="AK4" i="22"/>
  <c r="AJ4" i="22"/>
  <c r="AI4" i="22"/>
  <c r="AH4" i="22"/>
  <c r="AG4" i="22"/>
  <c r="AF4" i="22"/>
  <c r="AE4" i="22"/>
  <c r="AD4" i="22"/>
  <c r="AC4" i="22"/>
  <c r="AB4" i="22"/>
  <c r="AA4" i="22"/>
  <c r="Z4" i="22"/>
  <c r="Y4" i="22"/>
  <c r="X4" i="22"/>
  <c r="W4" i="22"/>
  <c r="V4" i="22"/>
  <c r="U4" i="22"/>
  <c r="T4" i="22"/>
  <c r="S4" i="22"/>
  <c r="R4" i="22"/>
  <c r="Q4" i="22"/>
  <c r="P4" i="22"/>
  <c r="O4" i="22"/>
  <c r="N4" i="22"/>
  <c r="M4" i="22"/>
  <c r="L4" i="22"/>
  <c r="K4" i="22"/>
  <c r="AY4" i="32"/>
  <c r="AX4" i="32"/>
  <c r="AW4" i="32"/>
  <c r="AV4" i="32"/>
  <c r="AU4" i="32"/>
  <c r="AT4" i="32"/>
  <c r="AS4" i="32"/>
  <c r="AR4" i="32"/>
  <c r="AQ4" i="32"/>
  <c r="AP4" i="32"/>
  <c r="AO4" i="32"/>
  <c r="AN4" i="32"/>
  <c r="AM4" i="32"/>
  <c r="AL4" i="32"/>
  <c r="AK4" i="32"/>
  <c r="AJ4" i="32"/>
  <c r="AI4" i="32"/>
  <c r="AH4" i="32"/>
  <c r="AG4" i="32"/>
  <c r="AF4" i="32"/>
  <c r="AE4" i="32"/>
  <c r="AD4" i="32"/>
  <c r="AC4" i="32"/>
  <c r="AB4" i="32"/>
  <c r="AA4" i="32"/>
  <c r="Z4" i="32"/>
  <c r="Y4" i="32"/>
  <c r="X4" i="32"/>
  <c r="W4" i="32"/>
  <c r="V4" i="32"/>
  <c r="U4" i="32"/>
  <c r="T4" i="32"/>
  <c r="S4" i="32"/>
  <c r="R4" i="32"/>
  <c r="Q4" i="32"/>
  <c r="P4" i="32"/>
  <c r="O4" i="32"/>
  <c r="N4" i="32"/>
  <c r="M4" i="32"/>
  <c r="L4" i="32"/>
  <c r="K4" i="32"/>
  <c r="AY4" i="4"/>
  <c r="AX4" i="4"/>
  <c r="AW4" i="4"/>
  <c r="AV4" i="4"/>
  <c r="AU4" i="4"/>
  <c r="AT4" i="4"/>
  <c r="AS4" i="4"/>
  <c r="AR4" i="4"/>
  <c r="AQ4" i="4"/>
  <c r="AP4" i="4"/>
  <c r="AO4" i="4"/>
  <c r="AN4" i="4"/>
  <c r="AM4" i="4"/>
  <c r="AL4" i="4"/>
  <c r="AK4" i="4"/>
  <c r="AJ4" i="4"/>
  <c r="AI4" i="4"/>
  <c r="AH4" i="4"/>
  <c r="AG4" i="4"/>
  <c r="AF4" i="4"/>
  <c r="AE4" i="4"/>
  <c r="AD4" i="4"/>
  <c r="AC4" i="4"/>
  <c r="AB4" i="4"/>
  <c r="AA4" i="4"/>
  <c r="Z4" i="4"/>
  <c r="Y4" i="4"/>
  <c r="X4" i="4"/>
  <c r="W4" i="4"/>
  <c r="V4" i="4"/>
  <c r="U4" i="4"/>
  <c r="T4" i="4"/>
  <c r="S4" i="4"/>
  <c r="R4" i="4"/>
  <c r="Q4" i="4"/>
  <c r="P4" i="4"/>
  <c r="O4" i="4"/>
  <c r="N4" i="4"/>
  <c r="M4" i="4"/>
  <c r="L4" i="4"/>
  <c r="K4" i="4"/>
  <c r="AY4" i="2"/>
  <c r="AX4" i="2"/>
  <c r="AW4" i="2"/>
  <c r="AV4" i="2"/>
  <c r="AU4" i="2"/>
  <c r="AT4" i="2"/>
  <c r="AS4" i="2"/>
  <c r="AR4" i="2"/>
  <c r="AQ4" i="2"/>
  <c r="AP4" i="2"/>
  <c r="AO4" i="2"/>
  <c r="AN4" i="2"/>
  <c r="AM4" i="2"/>
  <c r="AL4" i="2"/>
  <c r="AK4" i="2"/>
  <c r="AJ4" i="2"/>
  <c r="AI4" i="2"/>
  <c r="AH4" i="2"/>
  <c r="AG4" i="2"/>
  <c r="AF4" i="2"/>
  <c r="AE4" i="2"/>
  <c r="AD4" i="2"/>
  <c r="AC4" i="2"/>
  <c r="AB4" i="2"/>
  <c r="AA4" i="2"/>
  <c r="Z4" i="2"/>
  <c r="Y4" i="2"/>
  <c r="X4" i="2"/>
  <c r="W4" i="2"/>
  <c r="V4" i="2"/>
  <c r="U4" i="2"/>
  <c r="T4" i="2"/>
  <c r="S4" i="2"/>
  <c r="R4" i="2"/>
  <c r="Q4" i="2"/>
  <c r="P4" i="2"/>
  <c r="O4" i="2"/>
  <c r="N4" i="2"/>
  <c r="M4" i="2"/>
  <c r="L4" i="2"/>
  <c r="K4" i="2"/>
  <c r="AY4" i="25"/>
  <c r="AX4" i="25"/>
  <c r="AW4" i="25"/>
  <c r="AV4" i="25"/>
  <c r="AU4" i="25"/>
  <c r="AT4" i="25"/>
  <c r="AS4" i="25"/>
  <c r="AR4" i="25"/>
  <c r="AQ4" i="25"/>
  <c r="AP4" i="25"/>
  <c r="AO4" i="25"/>
  <c r="AN4" i="25"/>
  <c r="AM4" i="25"/>
  <c r="AL4" i="25"/>
  <c r="AK4" i="25"/>
  <c r="AJ4" i="25"/>
  <c r="AI4" i="25"/>
  <c r="AH4" i="25"/>
  <c r="AG4" i="25"/>
  <c r="AF4" i="25"/>
  <c r="AE4" i="25"/>
  <c r="AD4" i="25"/>
  <c r="AC4" i="25"/>
  <c r="AB4" i="25"/>
  <c r="AA4" i="25"/>
  <c r="Z4" i="25"/>
  <c r="Y4" i="25"/>
  <c r="X4" i="25"/>
  <c r="W4" i="25"/>
  <c r="V4" i="25"/>
  <c r="U4" i="25"/>
  <c r="T4" i="25"/>
  <c r="S4" i="25"/>
  <c r="R4" i="25"/>
  <c r="Q4" i="25"/>
  <c r="P4" i="25"/>
  <c r="O4" i="25"/>
  <c r="N4" i="25"/>
  <c r="M4" i="25"/>
  <c r="L4" i="25"/>
  <c r="K4" i="25"/>
  <c r="AY4" i="15"/>
  <c r="AX4" i="15"/>
  <c r="AW4" i="15"/>
  <c r="AV4" i="15"/>
  <c r="AU4" i="15"/>
  <c r="AT4" i="15"/>
  <c r="AS4" i="15"/>
  <c r="AR4" i="15"/>
  <c r="AQ4" i="15"/>
  <c r="AP4" i="15"/>
  <c r="AO4" i="15"/>
  <c r="AN4" i="15"/>
  <c r="AM4" i="15"/>
  <c r="AL4" i="15"/>
  <c r="AK4" i="15"/>
  <c r="AJ4" i="15"/>
  <c r="AI4" i="15"/>
  <c r="AH4" i="15"/>
  <c r="AG4" i="15"/>
  <c r="AF4" i="15"/>
  <c r="AE4" i="15"/>
  <c r="AD4" i="15"/>
  <c r="AC4" i="15"/>
  <c r="AB4" i="15"/>
  <c r="AA4" i="15"/>
  <c r="Z4" i="15"/>
  <c r="Y4" i="15"/>
  <c r="X4" i="15"/>
  <c r="W4" i="15"/>
  <c r="V4" i="15"/>
  <c r="U4" i="15"/>
  <c r="T4" i="15"/>
  <c r="S4" i="15"/>
  <c r="R4" i="15"/>
  <c r="Q4" i="15"/>
  <c r="P4" i="15"/>
  <c r="O4" i="15"/>
  <c r="N4" i="15"/>
  <c r="M4" i="15"/>
  <c r="L4" i="15"/>
  <c r="K4" i="15"/>
  <c r="AY4" i="35" l="1"/>
  <c r="AX4" i="35"/>
  <c r="AW4" i="35"/>
  <c r="AV4" i="35"/>
  <c r="AU4" i="35"/>
  <c r="AT4" i="35"/>
  <c r="AS4" i="35"/>
  <c r="AR4" i="35"/>
  <c r="AQ4" i="35"/>
  <c r="AP4" i="35"/>
  <c r="AO4" i="35"/>
  <c r="AN4" i="35"/>
  <c r="AM4" i="35"/>
  <c r="AL4" i="35"/>
  <c r="AK4" i="35"/>
  <c r="AJ4" i="35"/>
  <c r="AI4" i="35"/>
  <c r="AH4" i="35"/>
  <c r="AG4" i="35"/>
  <c r="AF4" i="35"/>
  <c r="AE4" i="35"/>
  <c r="AD4" i="35"/>
  <c r="AC4" i="35"/>
  <c r="AB4" i="35"/>
  <c r="AA4" i="35"/>
  <c r="Z4" i="35"/>
  <c r="Y4" i="35"/>
  <c r="X4" i="35"/>
  <c r="W4" i="35"/>
  <c r="V4" i="35"/>
  <c r="U4" i="35"/>
  <c r="T4" i="35"/>
  <c r="S4" i="35"/>
  <c r="R4" i="35"/>
  <c r="Q4" i="35"/>
  <c r="P4" i="35"/>
  <c r="O4" i="35"/>
  <c r="N4" i="35"/>
  <c r="M4" i="35"/>
  <c r="L4" i="35"/>
  <c r="K4" i="35"/>
  <c r="AY714" i="35"/>
  <c r="AY309" i="35"/>
  <c r="AW309" i="35"/>
  <c r="AU303" i="35"/>
  <c r="AU700" i="35" l="1"/>
  <c r="AU701" i="35"/>
  <c r="AU702" i="35"/>
  <c r="AU703" i="35"/>
  <c r="AU704" i="35"/>
  <c r="AU705" i="35"/>
  <c r="AU706" i="35"/>
  <c r="AU707" i="35"/>
  <c r="AU708" i="35"/>
  <c r="AU709" i="35"/>
  <c r="AU710" i="35"/>
  <c r="AU711" i="35"/>
  <c r="AU712" i="35"/>
  <c r="AU713" i="35"/>
  <c r="AU714" i="35"/>
  <c r="AU715" i="35"/>
  <c r="AU716" i="35"/>
  <c r="AU717" i="35"/>
  <c r="AU718" i="35"/>
  <c r="AU719" i="35"/>
  <c r="AU720" i="35"/>
  <c r="AU721" i="35"/>
  <c r="AU722" i="35"/>
  <c r="AU723" i="35"/>
  <c r="AU724" i="35"/>
  <c r="AU725" i="35"/>
  <c r="AU726" i="35"/>
  <c r="AU727" i="35"/>
  <c r="AU728" i="35"/>
  <c r="AU729" i="35"/>
  <c r="G10" i="34"/>
  <c r="G138" i="25"/>
  <c r="G8" i="34" s="1"/>
  <c r="G126" i="25"/>
  <c r="G7" i="34" s="1"/>
  <c r="G149" i="25"/>
  <c r="G20" i="34" s="1"/>
  <c r="G17" i="34"/>
  <c r="G18" i="34"/>
  <c r="G12" i="34"/>
  <c r="G11" i="34"/>
  <c r="G14" i="34"/>
  <c r="G13" i="34"/>
  <c r="G62" i="33"/>
  <c r="G61" i="33"/>
  <c r="G60" i="33"/>
  <c r="G59" i="33"/>
  <c r="G58" i="33"/>
  <c r="G55" i="33"/>
  <c r="G53" i="33"/>
  <c r="G46" i="33"/>
  <c r="G43" i="33"/>
  <c r="G38" i="33"/>
  <c r="G34" i="33"/>
  <c r="G30" i="33"/>
  <c r="G27" i="33"/>
  <c r="G23" i="33"/>
  <c r="G9" i="33"/>
  <c r="G19" i="33"/>
  <c r="G10" i="33"/>
  <c r="G276" i="15"/>
  <c r="G8" i="33" s="1"/>
  <c r="G264" i="15"/>
  <c r="G7" i="33" s="1"/>
  <c r="G287" i="15"/>
  <c r="G20" i="33" s="1"/>
  <c r="G17" i="33"/>
  <c r="G18" i="33"/>
  <c r="G12" i="33"/>
  <c r="G11" i="33"/>
  <c r="G14" i="33"/>
  <c r="G13" i="33"/>
  <c r="G29" i="25"/>
  <c r="G92" i="27" s="1"/>
  <c r="G94" i="27"/>
  <c r="G42" i="27"/>
  <c r="G95" i="27" s="1"/>
  <c r="G41" i="27"/>
  <c r="G39" i="27"/>
  <c r="G38" i="27"/>
  <c r="G37" i="27"/>
  <c r="G32" i="27"/>
  <c r="G31" i="27"/>
  <c r="G27" i="27"/>
  <c r="G26" i="27"/>
  <c r="G25" i="27"/>
  <c r="G22" i="27"/>
  <c r="G21" i="27"/>
  <c r="G20" i="27"/>
  <c r="G64" i="27" l="1"/>
  <c r="G63" i="27"/>
  <c r="G62" i="27"/>
  <c r="G61" i="27"/>
  <c r="G60" i="27"/>
  <c r="G59" i="27"/>
  <c r="G58" i="27"/>
  <c r="G57" i="27"/>
  <c r="G48" i="27"/>
  <c r="G47" i="27"/>
  <c r="G46" i="27"/>
  <c r="G121" i="32"/>
  <c r="G120" i="32"/>
  <c r="G119" i="32"/>
  <c r="G118" i="32"/>
  <c r="G117" i="32"/>
  <c r="G116" i="32"/>
  <c r="G115" i="32"/>
  <c r="G114" i="32"/>
  <c r="G113" i="32"/>
  <c r="G112" i="32"/>
  <c r="G111" i="32"/>
  <c r="G110" i="32"/>
  <c r="G109" i="32"/>
  <c r="G108" i="32"/>
  <c r="G107" i="32"/>
  <c r="G106" i="32"/>
  <c r="G105" i="32"/>
  <c r="G104" i="32"/>
  <c r="G103" i="32"/>
  <c r="G102" i="32"/>
  <c r="G101" i="32"/>
  <c r="G100" i="32"/>
  <c r="G99" i="32"/>
  <c r="G88" i="32"/>
  <c r="G87" i="32"/>
  <c r="G86" i="32"/>
  <c r="G85" i="32"/>
  <c r="G84" i="32"/>
  <c r="G83" i="32"/>
  <c r="G82" i="32"/>
  <c r="G81" i="32"/>
  <c r="G80" i="32"/>
  <c r="G79" i="32"/>
  <c r="G78" i="32"/>
  <c r="G77" i="32"/>
  <c r="G76" i="32"/>
  <c r="G75" i="32"/>
  <c r="G74" i="32"/>
  <c r="G73" i="32"/>
  <c r="G72" i="32"/>
  <c r="G71" i="32"/>
  <c r="G70" i="32"/>
  <c r="G69" i="32"/>
  <c r="G68" i="32"/>
  <c r="G67" i="32"/>
  <c r="G66" i="32"/>
  <c r="G58" i="32"/>
  <c r="G57" i="32"/>
  <c r="G56" i="32"/>
  <c r="G55" i="32"/>
  <c r="G54" i="32"/>
  <c r="G53" i="32"/>
  <c r="G52" i="32"/>
  <c r="G51" i="32"/>
  <c r="G50" i="32"/>
  <c r="G49" i="32"/>
  <c r="G48" i="32"/>
  <c r="G47" i="32"/>
  <c r="G46" i="32"/>
  <c r="G45" i="32"/>
  <c r="G44" i="32"/>
  <c r="G43" i="32"/>
  <c r="G42" i="32"/>
  <c r="G41" i="32"/>
  <c r="G40" i="32"/>
  <c r="G39" i="32"/>
  <c r="G38" i="32"/>
  <c r="G37" i="32"/>
  <c r="G36" i="32"/>
  <c r="G14" i="32" l="1"/>
  <c r="G13" i="32"/>
  <c r="G17" i="32"/>
  <c r="G16" i="32"/>
  <c r="G18" i="32"/>
  <c r="G12" i="32"/>
  <c r="G11" i="32"/>
  <c r="G7" i="32"/>
  <c r="G14" i="8"/>
  <c r="G17" i="8"/>
  <c r="G77" i="13" l="1"/>
  <c r="AT80" i="25" l="1"/>
  <c r="G80" i="25"/>
  <c r="G55" i="26"/>
  <c r="AT136" i="15"/>
  <c r="AT29" i="9" s="1"/>
  <c r="G75" i="14"/>
  <c r="G15" i="8"/>
  <c r="D29" i="9" a="1"/>
  <c r="D29" i="9" l="1"/>
  <c r="AT155" i="27"/>
  <c r="AY767" i="35"/>
  <c r="AX767" i="35"/>
  <c r="AW767" i="35"/>
  <c r="AV767" i="35"/>
  <c r="AU767" i="35"/>
  <c r="AT767" i="35"/>
  <c r="AS767" i="35"/>
  <c r="D155" i="27" a="1"/>
  <c r="D155" i="27" l="1"/>
  <c r="BC587" i="14" l="1"/>
  <c r="BB587" i="14"/>
  <c r="BB781" i="35" l="1"/>
  <c r="BB780" i="35"/>
  <c r="BB777" i="35"/>
  <c r="BB776" i="35"/>
  <c r="BB775" i="35"/>
  <c r="BB774" i="35"/>
  <c r="BB772" i="35"/>
  <c r="BB771" i="35"/>
  <c r="BB768" i="35"/>
  <c r="BB767" i="35"/>
  <c r="BB763" i="35"/>
  <c r="BB762" i="35"/>
  <c r="BB761" i="35"/>
  <c r="BB760" i="35"/>
  <c r="BB759" i="35"/>
  <c r="BB758" i="35"/>
  <c r="BB757" i="35"/>
  <c r="BB756" i="35"/>
  <c r="BB755" i="35"/>
  <c r="BB754" i="35"/>
  <c r="BB753" i="35"/>
  <c r="BB752" i="35"/>
  <c r="BB751" i="35"/>
  <c r="BB750" i="35"/>
  <c r="BB749" i="35"/>
  <c r="BB748" i="35"/>
  <c r="BB747" i="35"/>
  <c r="BB746" i="35"/>
  <c r="BB745" i="35"/>
  <c r="BB744" i="35"/>
  <c r="BB743" i="35"/>
  <c r="BB742" i="35"/>
  <c r="BB741" i="35"/>
  <c r="BB740" i="35"/>
  <c r="BB739" i="35"/>
  <c r="BB738" i="35"/>
  <c r="BB737" i="35"/>
  <c r="BB736" i="35"/>
  <c r="BB735" i="35"/>
  <c r="BB734" i="35"/>
  <c r="BB733" i="35"/>
  <c r="BB732" i="35"/>
  <c r="BB729" i="35"/>
  <c r="BB728" i="35"/>
  <c r="BB727" i="35"/>
  <c r="BB726" i="35"/>
  <c r="BB725" i="35"/>
  <c r="BB724" i="35"/>
  <c r="BB723" i="35"/>
  <c r="BB722" i="35"/>
  <c r="BB721" i="35"/>
  <c r="BB720" i="35"/>
  <c r="BB719" i="35"/>
  <c r="BB718" i="35"/>
  <c r="BB717" i="35"/>
  <c r="BB716" i="35"/>
  <c r="BB715" i="35"/>
  <c r="BB714" i="35"/>
  <c r="BB713" i="35"/>
  <c r="BB712" i="35"/>
  <c r="BB711" i="35"/>
  <c r="BB710" i="35"/>
  <c r="BB709" i="35"/>
  <c r="BB708" i="35"/>
  <c r="BB707" i="35"/>
  <c r="BB706" i="35"/>
  <c r="BB705" i="35"/>
  <c r="BB704" i="35"/>
  <c r="BB703" i="35"/>
  <c r="BB702" i="35"/>
  <c r="BB701" i="35"/>
  <c r="BB700" i="35"/>
  <c r="BB699" i="35"/>
  <c r="BB698" i="35"/>
  <c r="BB695" i="35"/>
  <c r="BB694" i="35"/>
  <c r="BB693" i="35"/>
  <c r="BB692" i="35"/>
  <c r="BB691" i="35"/>
  <c r="BB690" i="35"/>
  <c r="BB689" i="35"/>
  <c r="BB688" i="35"/>
  <c r="BB687" i="35"/>
  <c r="BB686" i="35"/>
  <c r="BB685" i="35"/>
  <c r="BB684" i="35"/>
  <c r="BB683" i="35"/>
  <c r="BB682" i="35"/>
  <c r="BB681" i="35"/>
  <c r="BB680" i="35"/>
  <c r="BB677" i="35"/>
  <c r="BB676" i="35"/>
  <c r="BB675" i="35"/>
  <c r="BC674" i="35"/>
  <c r="BB674" i="35"/>
  <c r="BC673" i="35"/>
  <c r="BB673" i="35"/>
  <c r="BB672" i="35"/>
  <c r="BB671" i="35"/>
  <c r="BB670" i="35"/>
  <c r="BB669" i="35"/>
  <c r="BB668" i="35"/>
  <c r="BB667" i="35"/>
  <c r="BB666" i="35"/>
  <c r="BB665" i="35"/>
  <c r="BB664" i="35"/>
  <c r="BB663" i="35"/>
  <c r="BB662" i="35"/>
  <c r="BB658" i="35"/>
  <c r="BB657" i="35"/>
  <c r="BB656" i="35"/>
  <c r="BB655" i="35"/>
  <c r="BB654" i="35"/>
  <c r="BB653" i="35"/>
  <c r="BB650" i="35"/>
  <c r="BB649" i="35"/>
  <c r="BB648" i="35"/>
  <c r="BB647" i="35"/>
  <c r="BB646" i="35"/>
  <c r="BB645" i="35"/>
  <c r="BB641" i="35"/>
  <c r="BB640" i="35"/>
  <c r="BB639" i="35"/>
  <c r="BB638" i="35"/>
  <c r="BB637" i="35"/>
  <c r="BB636" i="35"/>
  <c r="BB635" i="35"/>
  <c r="BB634" i="35"/>
  <c r="BB633" i="35"/>
  <c r="BB632" i="35"/>
  <c r="BB631" i="35"/>
  <c r="BB630" i="35"/>
  <c r="BB628" i="35"/>
  <c r="BB627" i="35"/>
  <c r="BB626" i="35"/>
  <c r="BB625" i="35"/>
  <c r="BB624" i="35"/>
  <c r="BB623" i="35"/>
  <c r="BB620" i="35"/>
  <c r="BB619" i="35"/>
  <c r="BB615" i="35"/>
  <c r="BB614" i="35"/>
  <c r="BB613" i="35"/>
  <c r="BB612" i="35"/>
  <c r="BB611" i="35"/>
  <c r="BB610" i="35"/>
  <c r="BB609" i="35"/>
  <c r="BB608" i="35"/>
  <c r="BB607" i="35"/>
  <c r="BB606" i="35"/>
  <c r="BB605" i="35"/>
  <c r="BB604" i="35"/>
  <c r="BB603" i="35"/>
  <c r="BB602" i="35"/>
  <c r="BB601" i="35"/>
  <c r="BB600" i="35"/>
  <c r="BB599" i="35"/>
  <c r="BB598" i="35"/>
  <c r="BB597" i="35"/>
  <c r="BB596" i="35"/>
  <c r="BB595" i="35"/>
  <c r="BB594" i="35"/>
  <c r="BB593" i="35"/>
  <c r="BB592" i="35"/>
  <c r="BB591" i="35"/>
  <c r="BB590" i="35"/>
  <c r="BB589" i="35"/>
  <c r="BB588" i="35"/>
  <c r="BB587" i="35"/>
  <c r="BB586" i="35"/>
  <c r="BB585" i="35"/>
  <c r="BB584" i="35"/>
  <c r="BB583" i="35"/>
  <c r="BB582" i="35"/>
  <c r="BB581" i="35"/>
  <c r="BB580" i="35"/>
  <c r="BB579" i="35"/>
  <c r="BB578" i="35"/>
  <c r="BB577" i="35"/>
  <c r="BB576" i="35"/>
  <c r="BB575" i="35"/>
  <c r="BB574" i="35"/>
  <c r="BB573" i="35"/>
  <c r="BB572" i="35"/>
  <c r="BB571" i="35"/>
  <c r="BB570" i="35"/>
  <c r="BB569" i="35"/>
  <c r="BB568" i="35"/>
  <c r="BB567" i="35"/>
  <c r="BB566" i="35"/>
  <c r="BB565" i="35"/>
  <c r="BB564" i="35"/>
  <c r="BB563" i="35"/>
  <c r="BB562" i="35"/>
  <c r="BB561" i="35"/>
  <c r="BB560" i="35"/>
  <c r="BB559" i="35"/>
  <c r="BB558" i="35"/>
  <c r="BB557" i="35"/>
  <c r="BB556" i="35"/>
  <c r="BB555" i="35"/>
  <c r="BB554" i="35"/>
  <c r="BB553" i="35"/>
  <c r="BB552" i="35"/>
  <c r="BB551" i="35"/>
  <c r="BB550" i="35"/>
  <c r="BB549" i="35"/>
  <c r="BB548" i="35"/>
  <c r="BB547" i="35"/>
  <c r="BB546" i="35"/>
  <c r="BB545" i="35"/>
  <c r="BB544" i="35"/>
  <c r="BB543" i="35"/>
  <c r="BB542" i="35"/>
  <c r="BB541" i="35"/>
  <c r="BB540" i="35"/>
  <c r="BB539" i="35"/>
  <c r="BB538" i="35"/>
  <c r="BB537" i="35"/>
  <c r="BB536" i="35"/>
  <c r="BB535" i="35"/>
  <c r="BB534" i="35"/>
  <c r="BB533" i="35"/>
  <c r="BB532" i="35"/>
  <c r="BB531" i="35"/>
  <c r="BB530" i="35"/>
  <c r="BB529" i="35"/>
  <c r="BB528" i="35"/>
  <c r="BB527" i="35"/>
  <c r="BB526" i="35"/>
  <c r="BB525" i="35"/>
  <c r="BB524" i="35"/>
  <c r="BB523" i="35"/>
  <c r="BB522" i="35"/>
  <c r="BB521" i="35"/>
  <c r="BB520" i="35"/>
  <c r="BB519" i="35"/>
  <c r="BB518" i="35"/>
  <c r="BB517" i="35"/>
  <c r="BB516" i="35"/>
  <c r="BB515" i="35"/>
  <c r="BB514" i="35"/>
  <c r="BB513" i="35"/>
  <c r="BB512" i="35"/>
  <c r="BB511" i="35"/>
  <c r="BB510" i="35"/>
  <c r="BB509" i="35"/>
  <c r="BB508" i="35"/>
  <c r="BB507" i="35"/>
  <c r="BB506" i="35"/>
  <c r="BB505" i="35"/>
  <c r="BB504" i="35"/>
  <c r="BB503" i="35"/>
  <c r="BB502" i="35"/>
  <c r="BB501" i="35"/>
  <c r="BB500" i="35"/>
  <c r="BB499" i="35"/>
  <c r="BB498" i="35"/>
  <c r="BB497" i="35"/>
  <c r="BB496" i="35"/>
  <c r="BB495" i="35"/>
  <c r="BB494" i="35"/>
  <c r="BB493" i="35"/>
  <c r="BB492" i="35"/>
  <c r="BB491" i="35"/>
  <c r="BB490" i="35"/>
  <c r="BB489" i="35"/>
  <c r="BB488" i="35"/>
  <c r="BB487" i="35"/>
  <c r="BB486" i="35"/>
  <c r="BB485" i="35"/>
  <c r="BB484" i="35"/>
  <c r="BB483" i="35"/>
  <c r="BB482" i="35"/>
  <c r="BB481" i="35"/>
  <c r="BB480" i="35"/>
  <c r="BB479" i="35"/>
  <c r="BB478" i="35"/>
  <c r="BB477" i="35"/>
  <c r="BB476" i="35"/>
  <c r="BB475" i="35"/>
  <c r="BB474" i="35"/>
  <c r="BB473" i="35"/>
  <c r="BB472" i="35"/>
  <c r="BB471" i="35"/>
  <c r="BB470" i="35"/>
  <c r="BB469" i="35"/>
  <c r="BB468" i="35"/>
  <c r="BB467" i="35"/>
  <c r="BB466" i="35"/>
  <c r="BB465" i="35"/>
  <c r="BB464" i="35"/>
  <c r="BB463" i="35"/>
  <c r="BB462" i="35"/>
  <c r="BB461" i="35"/>
  <c r="BB460" i="35"/>
  <c r="BB459" i="35"/>
  <c r="BB458" i="35"/>
  <c r="BB457" i="35"/>
  <c r="BB456" i="35"/>
  <c r="BB455" i="35"/>
  <c r="BB454" i="35"/>
  <c r="BB453" i="35"/>
  <c r="BB452" i="35"/>
  <c r="BB451" i="35"/>
  <c r="BB450" i="35"/>
  <c r="BB449" i="35"/>
  <c r="BB448" i="35"/>
  <c r="BB447" i="35"/>
  <c r="BB446" i="35"/>
  <c r="BB445" i="35"/>
  <c r="BB444" i="35"/>
  <c r="BB443" i="35"/>
  <c r="BB442" i="35"/>
  <c r="BB441" i="35"/>
  <c r="BB440" i="35"/>
  <c r="BB439" i="35"/>
  <c r="BB438" i="35"/>
  <c r="BB437" i="35"/>
  <c r="BB436" i="35"/>
  <c r="BB435" i="35"/>
  <c r="BB434" i="35"/>
  <c r="BB433" i="35"/>
  <c r="BB432" i="35"/>
  <c r="BB431" i="35"/>
  <c r="BB430" i="35"/>
  <c r="BB429" i="35"/>
  <c r="BB428" i="35"/>
  <c r="BB427" i="35"/>
  <c r="BB426" i="35"/>
  <c r="BB425" i="35"/>
  <c r="BB424" i="35"/>
  <c r="BB423" i="35"/>
  <c r="BB422" i="35"/>
  <c r="BB421" i="35"/>
  <c r="BB420" i="35"/>
  <c r="BB419" i="35"/>
  <c r="BB418" i="35"/>
  <c r="BB417" i="35"/>
  <c r="BB416" i="35"/>
  <c r="BB415" i="35"/>
  <c r="BB414" i="35"/>
  <c r="BB413" i="35"/>
  <c r="BB412" i="35"/>
  <c r="BB411" i="35"/>
  <c r="BB410" i="35"/>
  <c r="BB409" i="35"/>
  <c r="BB408" i="35"/>
  <c r="BB407" i="35"/>
  <c r="BB406" i="35"/>
  <c r="BB405" i="35"/>
  <c r="BB404" i="35"/>
  <c r="BB403" i="35"/>
  <c r="BB402" i="35"/>
  <c r="BB401" i="35"/>
  <c r="BB400" i="35"/>
  <c r="BB399" i="35"/>
  <c r="BB398" i="35"/>
  <c r="BB397" i="35"/>
  <c r="BB396" i="35"/>
  <c r="BB395" i="35"/>
  <c r="BB394" i="35"/>
  <c r="BB393" i="35"/>
  <c r="BB392" i="35"/>
  <c r="BB391" i="35"/>
  <c r="BB390" i="35"/>
  <c r="BB389" i="35"/>
  <c r="BB388" i="35"/>
  <c r="BB387" i="35"/>
  <c r="BB386" i="35"/>
  <c r="BB385" i="35"/>
  <c r="BB384" i="35"/>
  <c r="BB383" i="35"/>
  <c r="BB382" i="35"/>
  <c r="BB381" i="35"/>
  <c r="BB380" i="35"/>
  <c r="BB379" i="35"/>
  <c r="BB378" i="35"/>
  <c r="BB377" i="35"/>
  <c r="BB376" i="35"/>
  <c r="BB375" i="35"/>
  <c r="BB374" i="35"/>
  <c r="BB373" i="35"/>
  <c r="BB372" i="35"/>
  <c r="BB371" i="35"/>
  <c r="BB370" i="35"/>
  <c r="BB369" i="35"/>
  <c r="BB368" i="35"/>
  <c r="BB367" i="35"/>
  <c r="BB366" i="35"/>
  <c r="BB365" i="35"/>
  <c r="BB364" i="35"/>
  <c r="BB363" i="35"/>
  <c r="BB362" i="35"/>
  <c r="BB361" i="35"/>
  <c r="BB360" i="35"/>
  <c r="BB359" i="35"/>
  <c r="BB358" i="35"/>
  <c r="BB355" i="35"/>
  <c r="BB354" i="35"/>
  <c r="BB353" i="35"/>
  <c r="BB352" i="35"/>
  <c r="BB351" i="35"/>
  <c r="BB350" i="35"/>
  <c r="BB349" i="35"/>
  <c r="BB348" i="35"/>
  <c r="BB347" i="35"/>
  <c r="BB346" i="35"/>
  <c r="BB345" i="35"/>
  <c r="BB344" i="35"/>
  <c r="BB343" i="35"/>
  <c r="BB342" i="35"/>
  <c r="BB341" i="35"/>
  <c r="BB340" i="35"/>
  <c r="BB339" i="35"/>
  <c r="BB338" i="35"/>
  <c r="BB337" i="35"/>
  <c r="BB336" i="35"/>
  <c r="BB335" i="35"/>
  <c r="BB334" i="35"/>
  <c r="BB333" i="35"/>
  <c r="BB332" i="35"/>
  <c r="BB331" i="35"/>
  <c r="BB330" i="35"/>
  <c r="BB329" i="35"/>
  <c r="BB328" i="35"/>
  <c r="BB327" i="35"/>
  <c r="BB326" i="35"/>
  <c r="BB325" i="35"/>
  <c r="BB324" i="35"/>
  <c r="BB323" i="35"/>
  <c r="BB322" i="35"/>
  <c r="BB321" i="35"/>
  <c r="BB320" i="35"/>
  <c r="BB319" i="35"/>
  <c r="BB318" i="35"/>
  <c r="BB317" i="35"/>
  <c r="BB316" i="35"/>
  <c r="BB315" i="35"/>
  <c r="BB314" i="35"/>
  <c r="BB313" i="35"/>
  <c r="BB312" i="35"/>
  <c r="BB311" i="35"/>
  <c r="BB310" i="35"/>
  <c r="BB309" i="35"/>
  <c r="BB308" i="35"/>
  <c r="BB307" i="35"/>
  <c r="BB306" i="35"/>
  <c r="BB305" i="35"/>
  <c r="BB304" i="35"/>
  <c r="BB303" i="35"/>
  <c r="BB302" i="35"/>
  <c r="BB301" i="35"/>
  <c r="BB300" i="35"/>
  <c r="BB299" i="35"/>
  <c r="BB298" i="35"/>
  <c r="BB297" i="35"/>
  <c r="BB296" i="35"/>
  <c r="BB295" i="35"/>
  <c r="BB294" i="35"/>
  <c r="BB293" i="35"/>
  <c r="BB292" i="35"/>
  <c r="BB291" i="35"/>
  <c r="BB290" i="35"/>
  <c r="BB289" i="35"/>
  <c r="BB288" i="35"/>
  <c r="BB287" i="35"/>
  <c r="BB286" i="35"/>
  <c r="BB285" i="35"/>
  <c r="BB284" i="35"/>
  <c r="BB283" i="35"/>
  <c r="BB282" i="35"/>
  <c r="BB281" i="35"/>
  <c r="BB280" i="35"/>
  <c r="BB279" i="35"/>
  <c r="BB278" i="35"/>
  <c r="BB277" i="35"/>
  <c r="BB276" i="35"/>
  <c r="BB275" i="35"/>
  <c r="BB274" i="35"/>
  <c r="BB273" i="35"/>
  <c r="BB272" i="35"/>
  <c r="BB271" i="35"/>
  <c r="BB270" i="35"/>
  <c r="BB269" i="35"/>
  <c r="BB268" i="35"/>
  <c r="BB267" i="35"/>
  <c r="BB266" i="35"/>
  <c r="BB265" i="35"/>
  <c r="BB264" i="35"/>
  <c r="BB263" i="35"/>
  <c r="BB262" i="35"/>
  <c r="BB261" i="35"/>
  <c r="BB260" i="35"/>
  <c r="BB259" i="35"/>
  <c r="BB258" i="35"/>
  <c r="BB257" i="35"/>
  <c r="BB256" i="35"/>
  <c r="BB255" i="35"/>
  <c r="BB254" i="35"/>
  <c r="BB253" i="35"/>
  <c r="BB252" i="35"/>
  <c r="BB251" i="35"/>
  <c r="BB250" i="35"/>
  <c r="BB249" i="35"/>
  <c r="BB248" i="35"/>
  <c r="BB247" i="35"/>
  <c r="BB246" i="35"/>
  <c r="BB245" i="35"/>
  <c r="BB244" i="35"/>
  <c r="BB243" i="35"/>
  <c r="BB242" i="35"/>
  <c r="BB241" i="35"/>
  <c r="BB240" i="35"/>
  <c r="BB239" i="35"/>
  <c r="BB238" i="35"/>
  <c r="BB237" i="35"/>
  <c r="BB236" i="35"/>
  <c r="BB235" i="35"/>
  <c r="BB234" i="35"/>
  <c r="BB233" i="35"/>
  <c r="BB232" i="35"/>
  <c r="BB231" i="35"/>
  <c r="BB230" i="35"/>
  <c r="BB229" i="35"/>
  <c r="BB228" i="35"/>
  <c r="BB227" i="35"/>
  <c r="BB226" i="35"/>
  <c r="BB225" i="35"/>
  <c r="BB224" i="35"/>
  <c r="BB223" i="35"/>
  <c r="BB222" i="35"/>
  <c r="BB221" i="35"/>
  <c r="BB220" i="35"/>
  <c r="BB219" i="35"/>
  <c r="BB218" i="35"/>
  <c r="BB217" i="35"/>
  <c r="BB216" i="35"/>
  <c r="BB215" i="35"/>
  <c r="BB214" i="35"/>
  <c r="BB213" i="35"/>
  <c r="BB212" i="35"/>
  <c r="BB211" i="35"/>
  <c r="BB210" i="35"/>
  <c r="BB209" i="35"/>
  <c r="BB208" i="35"/>
  <c r="BB207" i="35"/>
  <c r="BB206" i="35"/>
  <c r="BB205" i="35"/>
  <c r="BB204" i="35"/>
  <c r="BB203" i="35"/>
  <c r="BB202" i="35"/>
  <c r="BB201" i="35"/>
  <c r="BB200" i="35"/>
  <c r="BB199" i="35"/>
  <c r="BB198" i="35"/>
  <c r="BB197" i="35"/>
  <c r="BB196" i="35"/>
  <c r="BB195" i="35"/>
  <c r="BB194" i="35"/>
  <c r="BB193" i="35"/>
  <c r="BB192" i="35"/>
  <c r="BB191" i="35"/>
  <c r="BB190" i="35"/>
  <c r="BB189" i="35"/>
  <c r="BB188" i="35"/>
  <c r="BB187" i="35"/>
  <c r="BB186" i="35"/>
  <c r="BB185" i="35"/>
  <c r="BB184" i="35"/>
  <c r="BB183" i="35"/>
  <c r="BB182" i="35"/>
  <c r="BB181" i="35"/>
  <c r="BB180" i="35"/>
  <c r="BB179" i="35"/>
  <c r="BB178" i="35"/>
  <c r="BB177" i="35"/>
  <c r="BB176" i="35"/>
  <c r="BB175" i="35"/>
  <c r="BB174" i="35"/>
  <c r="BB173" i="35"/>
  <c r="BB172" i="35"/>
  <c r="BB171" i="35"/>
  <c r="BB170" i="35"/>
  <c r="BB169" i="35"/>
  <c r="BB168" i="35"/>
  <c r="BB167" i="35"/>
  <c r="BB166" i="35"/>
  <c r="BB165" i="35"/>
  <c r="BB164" i="35"/>
  <c r="BB163" i="35"/>
  <c r="BB162" i="35"/>
  <c r="BB161" i="35"/>
  <c r="BB160" i="35"/>
  <c r="BB159" i="35"/>
  <c r="BB158" i="35"/>
  <c r="BB157" i="35"/>
  <c r="BB156" i="35"/>
  <c r="BB155" i="35"/>
  <c r="BB154" i="35"/>
  <c r="BB153" i="35"/>
  <c r="BB152" i="35"/>
  <c r="BB151" i="35"/>
  <c r="BB150" i="35"/>
  <c r="BB149" i="35"/>
  <c r="BB148" i="35"/>
  <c r="BB147" i="35"/>
  <c r="BB146" i="35"/>
  <c r="BB145" i="35"/>
  <c r="BB144" i="35"/>
  <c r="BB143" i="35"/>
  <c r="BB142" i="35"/>
  <c r="BB141" i="35"/>
  <c r="BB140" i="35"/>
  <c r="BB139" i="35"/>
  <c r="BB138" i="35"/>
  <c r="BB137" i="35"/>
  <c r="BB136" i="35"/>
  <c r="BB135" i="35"/>
  <c r="BB134" i="35"/>
  <c r="BB133" i="35"/>
  <c r="BB132" i="35"/>
  <c r="BB131" i="35"/>
  <c r="BB130" i="35"/>
  <c r="BB129" i="35"/>
  <c r="BB128" i="35"/>
  <c r="BB127" i="35"/>
  <c r="BB126" i="35"/>
  <c r="BB125" i="35"/>
  <c r="BB124" i="35"/>
  <c r="BB123" i="35"/>
  <c r="BB122" i="35"/>
  <c r="BB121" i="35"/>
  <c r="BB120" i="35"/>
  <c r="BB119" i="35"/>
  <c r="BB118" i="35"/>
  <c r="BB117" i="35"/>
  <c r="BB116" i="35"/>
  <c r="BB115" i="35"/>
  <c r="BB114" i="35"/>
  <c r="BB113" i="35"/>
  <c r="BB112" i="35"/>
  <c r="BB111" i="35"/>
  <c r="BB110" i="35"/>
  <c r="BB109" i="35"/>
  <c r="BB108" i="35"/>
  <c r="BB107" i="35"/>
  <c r="BB106" i="35"/>
  <c r="BB105" i="35"/>
  <c r="BB104" i="35"/>
  <c r="BB103" i="35"/>
  <c r="BB102" i="35"/>
  <c r="BB101" i="35"/>
  <c r="BB100" i="35"/>
  <c r="BB99" i="35"/>
  <c r="BB98" i="35"/>
  <c r="BB95" i="35"/>
  <c r="BB94" i="35"/>
  <c r="BB93" i="35"/>
  <c r="BB92" i="35"/>
  <c r="BB91" i="35"/>
  <c r="BB90" i="35"/>
  <c r="BB89" i="35"/>
  <c r="BB88" i="35"/>
  <c r="BB87" i="35"/>
  <c r="BB86" i="35"/>
  <c r="BB85" i="35"/>
  <c r="BB84" i="35"/>
  <c r="BB83" i="35"/>
  <c r="BB82" i="35"/>
  <c r="BB81" i="35"/>
  <c r="BB80" i="35"/>
  <c r="BB79" i="35"/>
  <c r="BB78" i="35"/>
  <c r="BB77" i="35"/>
  <c r="BB76" i="35"/>
  <c r="BB75" i="35"/>
  <c r="BB74" i="35"/>
  <c r="BB73" i="35"/>
  <c r="BB72" i="35"/>
  <c r="BB71" i="35"/>
  <c r="BB70" i="35"/>
  <c r="BB69" i="35"/>
  <c r="BB68" i="35"/>
  <c r="BB67" i="35"/>
  <c r="BB66" i="35"/>
  <c r="BB65" i="35"/>
  <c r="BB64" i="35"/>
  <c r="BB63" i="35"/>
  <c r="BB62" i="35"/>
  <c r="BB61" i="35"/>
  <c r="BB60" i="35"/>
  <c r="BB59" i="35"/>
  <c r="BB58" i="35"/>
  <c r="BB57" i="35"/>
  <c r="BB56" i="35"/>
  <c r="BB55" i="35"/>
  <c r="BB54" i="35"/>
  <c r="BB53" i="35"/>
  <c r="BB50" i="35"/>
  <c r="BB49" i="35"/>
  <c r="BB48" i="35"/>
  <c r="BB47" i="35"/>
  <c r="BB46" i="35"/>
  <c r="BB45" i="35"/>
  <c r="BB44" i="35"/>
  <c r="BB43" i="35"/>
  <c r="BB42" i="35"/>
  <c r="BB41" i="35"/>
  <c r="BB40" i="35"/>
  <c r="BB39" i="35"/>
  <c r="BB38" i="35"/>
  <c r="BB37" i="35"/>
  <c r="BB36" i="35"/>
  <c r="BB35" i="35"/>
  <c r="BB34" i="35"/>
  <c r="BB33" i="35"/>
  <c r="BB32" i="35"/>
  <c r="BB31" i="35"/>
  <c r="BB30" i="35"/>
  <c r="BB29" i="35"/>
  <c r="BB28" i="35"/>
  <c r="BB27" i="35"/>
  <c r="BB26" i="35"/>
  <c r="BB25" i="35"/>
  <c r="BB24" i="35"/>
  <c r="BB23" i="35"/>
  <c r="BB22" i="35"/>
  <c r="BB21" i="35"/>
  <c r="BB20" i="35"/>
  <c r="BB19" i="35"/>
  <c r="BB18" i="35"/>
  <c r="BB17" i="35"/>
  <c r="BB16" i="35"/>
  <c r="BB15" i="35"/>
  <c r="BB14" i="35"/>
  <c r="BB13" i="35"/>
  <c r="BB12" i="35"/>
  <c r="BB11" i="35"/>
  <c r="BB10" i="35"/>
  <c r="BB9" i="35"/>
  <c r="BB8" i="35"/>
  <c r="AW679" i="35"/>
  <c r="AV679" i="35"/>
  <c r="AU679" i="35"/>
  <c r="F266" i="20" l="1"/>
  <c r="F265" i="20"/>
  <c r="F264" i="20"/>
  <c r="F263" i="20"/>
  <c r="F262" i="20"/>
  <c r="F261" i="20"/>
  <c r="F260" i="20"/>
  <c r="F259" i="20"/>
  <c r="F258" i="20"/>
  <c r="F257" i="20"/>
  <c r="F256" i="20"/>
  <c r="F255" i="20"/>
  <c r="F254" i="20"/>
  <c r="F253" i="20"/>
  <c r="F252" i="20"/>
  <c r="F251" i="20"/>
  <c r="F250" i="20"/>
  <c r="F249" i="20"/>
  <c r="F248" i="20"/>
  <c r="F247" i="20"/>
  <c r="F246" i="20"/>
  <c r="F245" i="20"/>
  <c r="F244" i="20"/>
  <c r="F243" i="20"/>
  <c r="F242" i="20"/>
  <c r="F241" i="20"/>
  <c r="F240" i="20"/>
  <c r="F239" i="20"/>
  <c r="F238" i="20"/>
  <c r="F237" i="20"/>
  <c r="F236" i="20"/>
  <c r="F235" i="20"/>
  <c r="F234" i="20"/>
  <c r="F233" i="20"/>
  <c r="F232" i="20"/>
  <c r="F231" i="20"/>
  <c r="F230" i="20"/>
  <c r="F229" i="20"/>
  <c r="F228" i="20"/>
  <c r="F227" i="20"/>
  <c r="F226" i="20"/>
  <c r="F225" i="20"/>
  <c r="F224" i="20"/>
  <c r="F223" i="20"/>
  <c r="F222" i="20"/>
  <c r="F221" i="20"/>
  <c r="F220" i="20"/>
  <c r="F219" i="20"/>
  <c r="F218" i="20"/>
  <c r="F217" i="20"/>
  <c r="F216" i="20"/>
  <c r="F215" i="20"/>
  <c r="F214" i="20"/>
  <c r="F213" i="20"/>
  <c r="F212" i="20"/>
  <c r="F211" i="20"/>
  <c r="F210" i="20"/>
  <c r="F209" i="20"/>
  <c r="F208" i="20"/>
  <c r="F207" i="20"/>
  <c r="F206" i="20"/>
  <c r="F205" i="20"/>
  <c r="F204" i="20"/>
  <c r="F203" i="20"/>
  <c r="F202" i="20"/>
  <c r="F201" i="20"/>
  <c r="F200" i="20"/>
  <c r="F199" i="20"/>
  <c r="F198" i="20"/>
  <c r="F197" i="20"/>
  <c r="F196" i="20"/>
  <c r="F195" i="20"/>
  <c r="F194" i="20"/>
  <c r="F193" i="20"/>
  <c r="F192" i="20"/>
  <c r="F191" i="20"/>
  <c r="F190" i="20"/>
  <c r="F189" i="20"/>
  <c r="F188" i="20"/>
  <c r="F187" i="20"/>
  <c r="F186" i="20"/>
  <c r="F185" i="20"/>
  <c r="F184" i="20"/>
  <c r="F183" i="20"/>
  <c r="F182" i="20"/>
  <c r="F181" i="20"/>
  <c r="F180" i="20"/>
  <c r="F179" i="20"/>
  <c r="F178" i="20"/>
  <c r="F177" i="20"/>
  <c r="F176" i="20"/>
  <c r="F175" i="20"/>
  <c r="F174" i="20"/>
  <c r="F173" i="20"/>
  <c r="F172" i="20"/>
  <c r="F171" i="20"/>
  <c r="F170" i="20"/>
  <c r="F169" i="20"/>
  <c r="F168" i="20"/>
  <c r="F167" i="20"/>
  <c r="F166" i="20"/>
  <c r="F165" i="20"/>
  <c r="F164" i="20"/>
  <c r="F163" i="20"/>
  <c r="F162" i="20"/>
  <c r="F161" i="20"/>
  <c r="F160" i="20"/>
  <c r="F159" i="20"/>
  <c r="F158" i="20"/>
  <c r="F157" i="20"/>
  <c r="F156" i="20"/>
  <c r="F155" i="20"/>
  <c r="F154" i="20"/>
  <c r="F153" i="20"/>
  <c r="F152" i="20"/>
  <c r="F151" i="20"/>
  <c r="F150" i="20"/>
  <c r="F149" i="20"/>
  <c r="F148" i="20"/>
  <c r="F147" i="20"/>
  <c r="F146" i="20"/>
  <c r="F145" i="20"/>
  <c r="F144" i="20"/>
  <c r="F143" i="20"/>
  <c r="F142" i="20"/>
  <c r="F141" i="20"/>
  <c r="F140" i="20"/>
  <c r="F139" i="20"/>
  <c r="F138" i="20"/>
  <c r="F137" i="20"/>
  <c r="F136" i="20"/>
  <c r="F135" i="20"/>
  <c r="F134" i="20"/>
  <c r="F133" i="20"/>
  <c r="F132" i="20"/>
  <c r="F131" i="20"/>
  <c r="F130" i="20"/>
  <c r="F129" i="20"/>
  <c r="F128" i="20"/>
  <c r="F127" i="20"/>
  <c r="F126" i="20"/>
  <c r="F125" i="20"/>
  <c r="F124" i="20"/>
  <c r="F123" i="20"/>
  <c r="F122" i="20"/>
  <c r="F121" i="20"/>
  <c r="F120" i="20"/>
  <c r="F119" i="20"/>
  <c r="F118" i="20"/>
  <c r="F117" i="20"/>
  <c r="F116" i="20"/>
  <c r="F115" i="20"/>
  <c r="F114" i="20"/>
  <c r="F113" i="20"/>
  <c r="F112" i="20"/>
  <c r="F111" i="20"/>
  <c r="F110" i="20"/>
  <c r="F109" i="20"/>
  <c r="F108" i="20"/>
  <c r="F107" i="20"/>
  <c r="F106" i="20"/>
  <c r="F105" i="20"/>
  <c r="F104" i="20"/>
  <c r="F103" i="20"/>
  <c r="F102" i="20"/>
  <c r="F101" i="20"/>
  <c r="F100" i="20"/>
  <c r="F99" i="20"/>
  <c r="F98" i="20"/>
  <c r="F97" i="20"/>
  <c r="F96" i="20"/>
  <c r="F95" i="20"/>
  <c r="F94" i="20"/>
  <c r="F93" i="20"/>
  <c r="F92" i="20"/>
  <c r="F91" i="20"/>
  <c r="F90" i="20"/>
  <c r="F89" i="20"/>
  <c r="F88" i="20"/>
  <c r="F87" i="20"/>
  <c r="F86" i="20"/>
  <c r="F85" i="20"/>
  <c r="F84" i="20"/>
  <c r="F83" i="20"/>
  <c r="F82" i="20"/>
  <c r="F81" i="20"/>
  <c r="F80" i="20"/>
  <c r="F79" i="20"/>
  <c r="F78" i="20"/>
  <c r="F77" i="20"/>
  <c r="F76" i="20"/>
  <c r="F75" i="20"/>
  <c r="F74" i="20"/>
  <c r="F73" i="20"/>
  <c r="F72" i="20"/>
  <c r="F71" i="20"/>
  <c r="F70" i="20"/>
  <c r="F69" i="20"/>
  <c r="F68" i="20"/>
  <c r="F67" i="20"/>
  <c r="F66" i="20"/>
  <c r="F65" i="20"/>
  <c r="F64" i="20"/>
  <c r="F63" i="20"/>
  <c r="F62" i="20"/>
  <c r="F61" i="20"/>
  <c r="F60" i="20"/>
  <c r="F59" i="20"/>
  <c r="F58" i="20"/>
  <c r="F57" i="20"/>
  <c r="F56" i="20"/>
  <c r="F55" i="20"/>
  <c r="F54" i="20"/>
  <c r="F53" i="20"/>
  <c r="F52" i="20"/>
  <c r="F51" i="20"/>
  <c r="F50" i="20"/>
  <c r="F49" i="20"/>
  <c r="F48" i="20"/>
  <c r="F47" i="20"/>
  <c r="F46" i="20"/>
  <c r="F45" i="20"/>
  <c r="F44" i="20"/>
  <c r="F43" i="20"/>
  <c r="F42" i="20"/>
  <c r="F41" i="20"/>
  <c r="F40" i="20"/>
  <c r="F39" i="20"/>
  <c r="F38" i="20"/>
  <c r="F37" i="20"/>
  <c r="F36" i="20"/>
  <c r="F35" i="20"/>
  <c r="F34" i="20"/>
  <c r="F33" i="20"/>
  <c r="F32" i="20"/>
  <c r="F31" i="20"/>
  <c r="F30" i="20"/>
  <c r="F29" i="20"/>
  <c r="F28" i="20"/>
  <c r="F27" i="20"/>
  <c r="F26" i="20"/>
  <c r="F25" i="20"/>
  <c r="F24" i="20"/>
  <c r="F23" i="20"/>
  <c r="F22" i="20"/>
  <c r="F21" i="20"/>
  <c r="F20" i="20"/>
  <c r="F19" i="20"/>
  <c r="F18" i="20"/>
  <c r="F17" i="20"/>
  <c r="F16" i="20"/>
  <c r="F15" i="20"/>
  <c r="F14" i="20"/>
  <c r="F13" i="20"/>
  <c r="F12" i="20"/>
  <c r="F11" i="20"/>
  <c r="F10" i="20"/>
  <c r="F9" i="20"/>
  <c r="F8" i="20"/>
  <c r="F7" i="20"/>
  <c r="F6" i="20"/>
  <c r="F5" i="20"/>
  <c r="F4" i="20"/>
  <c r="F3" i="20"/>
  <c r="F2" i="20"/>
  <c r="BB62" i="33" l="1"/>
  <c r="BB61" i="33"/>
  <c r="BB60" i="33"/>
  <c r="BB59" i="33"/>
  <c r="BB58" i="33"/>
  <c r="BC55" i="33"/>
  <c r="BB55" i="33"/>
  <c r="BC53" i="33"/>
  <c r="BB53" i="33"/>
  <c r="BC52" i="33"/>
  <c r="BB52" i="33"/>
  <c r="BC51" i="33"/>
  <c r="BB51" i="33"/>
  <c r="BC46" i="33"/>
  <c r="BB46" i="33"/>
  <c r="BC43" i="33"/>
  <c r="BB43" i="33"/>
  <c r="BC42" i="33"/>
  <c r="BB42" i="33"/>
  <c r="BC41" i="33"/>
  <c r="BB41" i="33"/>
  <c r="BC38" i="33"/>
  <c r="BB38" i="33"/>
  <c r="BC34" i="33"/>
  <c r="BB34" i="33"/>
  <c r="BB30" i="33"/>
  <c r="BB27" i="33"/>
  <c r="BB23" i="33"/>
  <c r="BC86" i="27"/>
  <c r="BB86" i="27"/>
  <c r="BC84" i="27"/>
  <c r="BB84" i="27"/>
  <c r="BC83" i="27"/>
  <c r="BB83" i="27"/>
  <c r="BC82" i="27"/>
  <c r="BB82" i="27"/>
  <c r="BC81" i="27"/>
  <c r="BB81" i="27"/>
  <c r="BC80" i="27"/>
  <c r="BB80" i="27"/>
  <c r="BC79" i="27"/>
  <c r="BB79" i="27"/>
  <c r="BC78" i="27"/>
  <c r="BB78" i="27"/>
  <c r="BC77" i="27"/>
  <c r="BB77" i="27"/>
  <c r="BC76" i="27"/>
  <c r="BB76" i="27"/>
  <c r="BC75" i="27"/>
  <c r="BB75" i="27"/>
  <c r="BC74" i="27"/>
  <c r="BB74" i="27"/>
  <c r="BC73" i="27"/>
  <c r="BB73" i="27"/>
  <c r="BC72" i="27"/>
  <c r="BB72" i="27"/>
  <c r="BC71" i="27"/>
  <c r="BB71" i="27"/>
  <c r="BC70" i="27"/>
  <c r="BB70" i="27"/>
  <c r="BC69" i="27"/>
  <c r="BB69" i="27"/>
  <c r="BC68" i="27"/>
  <c r="BB68" i="27"/>
  <c r="BC67" i="27"/>
  <c r="BB67" i="27"/>
  <c r="BC66" i="27"/>
  <c r="BB66" i="27"/>
  <c r="BC65" i="27"/>
  <c r="BB65" i="27"/>
  <c r="BC64" i="27"/>
  <c r="BB64" i="27"/>
  <c r="BC63" i="27"/>
  <c r="BB63" i="27"/>
  <c r="BC62" i="27"/>
  <c r="BB62" i="27"/>
  <c r="BC61" i="27"/>
  <c r="BB61" i="27"/>
  <c r="BC60" i="27"/>
  <c r="BB60" i="27"/>
  <c r="BC59" i="27"/>
  <c r="BB59" i="27"/>
  <c r="BC58" i="27"/>
  <c r="BB58" i="27"/>
  <c r="BC57" i="27"/>
  <c r="BB57" i="27"/>
  <c r="BC54" i="27"/>
  <c r="BB54" i="27"/>
  <c r="BD321" i="27"/>
  <c r="BC321" i="27"/>
  <c r="BB321" i="27"/>
  <c r="BD320" i="27"/>
  <c r="BC320" i="27"/>
  <c r="BB320" i="27"/>
  <c r="BD319" i="27"/>
  <c r="BC319" i="27"/>
  <c r="BB319" i="27"/>
  <c r="BD297" i="27"/>
  <c r="BC297" i="27"/>
  <c r="BB297" i="27"/>
  <c r="BD296" i="27"/>
  <c r="BC296" i="27"/>
  <c r="BB296" i="27"/>
  <c r="BD295" i="27"/>
  <c r="BC295" i="27"/>
  <c r="BB295" i="27"/>
  <c r="BC253" i="27"/>
  <c r="BB253" i="27"/>
  <c r="BC123" i="13"/>
  <c r="BC122" i="13"/>
  <c r="BC121" i="13"/>
  <c r="BC118" i="13"/>
  <c r="BB118" i="13"/>
  <c r="BC117" i="13"/>
  <c r="BB117" i="13"/>
  <c r="BC116" i="13"/>
  <c r="BB116" i="13"/>
  <c r="BC114" i="13"/>
  <c r="BB114" i="13"/>
  <c r="BC113" i="13"/>
  <c r="BB113" i="13"/>
  <c r="BC112" i="13"/>
  <c r="BB112" i="13"/>
  <c r="BC111" i="13"/>
  <c r="BB111" i="13"/>
  <c r="BC110" i="13"/>
  <c r="BB110" i="13"/>
  <c r="BC108" i="13"/>
  <c r="BC105" i="13"/>
  <c r="BB105" i="13"/>
  <c r="BC104" i="13"/>
  <c r="BB104" i="13"/>
  <c r="G81" i="13"/>
  <c r="G82" i="13"/>
  <c r="G83" i="13"/>
  <c r="G85" i="13"/>
  <c r="G86" i="13"/>
  <c r="G87" i="13"/>
  <c r="G89" i="13"/>
  <c r="G90" i="13"/>
  <c r="G91" i="13"/>
  <c r="G92" i="13"/>
  <c r="G99" i="13"/>
  <c r="G96" i="13"/>
  <c r="BC99" i="13"/>
  <c r="BB99" i="13"/>
  <c r="BC97" i="13"/>
  <c r="BB97" i="13"/>
  <c r="BC96" i="13"/>
  <c r="BB96" i="13"/>
  <c r="BC95" i="13"/>
  <c r="BB95" i="13"/>
  <c r="BC93" i="13"/>
  <c r="BB93" i="13"/>
  <c r="BC92" i="13"/>
  <c r="BB92" i="13"/>
  <c r="BC91" i="13"/>
  <c r="BB91" i="13"/>
  <c r="BC90" i="13"/>
  <c r="BB90" i="13"/>
  <c r="BC89" i="13"/>
  <c r="BB89" i="13"/>
  <c r="BC87" i="13"/>
  <c r="BB87" i="13"/>
  <c r="BC86" i="13"/>
  <c r="BB86" i="13"/>
  <c r="BC85" i="13"/>
  <c r="BB85" i="13"/>
  <c r="BC83" i="13"/>
  <c r="BB83" i="13"/>
  <c r="BC82" i="13"/>
  <c r="BB82" i="13"/>
  <c r="BC81" i="13"/>
  <c r="BB81" i="13"/>
  <c r="BC18" i="22"/>
  <c r="BB18" i="22"/>
  <c r="BC17" i="22"/>
  <c r="BB17" i="22"/>
  <c r="G11" i="22"/>
  <c r="G10" i="22"/>
  <c r="BB132" i="32"/>
  <c r="BB130" i="32"/>
  <c r="BB129" i="32"/>
  <c r="BB126" i="32"/>
  <c r="BB125" i="32"/>
  <c r="BB124" i="32"/>
  <c r="BB123" i="32"/>
  <c r="BB122" i="32"/>
  <c r="BB121" i="32"/>
  <c r="BB120" i="32"/>
  <c r="BB119" i="32"/>
  <c r="BB118" i="32"/>
  <c r="BB117" i="32"/>
  <c r="BB116" i="32"/>
  <c r="BB115" i="32"/>
  <c r="BB114" i="32"/>
  <c r="BB113" i="32"/>
  <c r="BB112" i="32"/>
  <c r="BB111" i="32"/>
  <c r="BB110" i="32"/>
  <c r="BB109" i="32"/>
  <c r="BB108" i="32"/>
  <c r="BB107" i="32"/>
  <c r="BB106" i="32"/>
  <c r="BB105" i="32"/>
  <c r="BB104" i="32"/>
  <c r="BB103" i="32"/>
  <c r="BB102" i="32"/>
  <c r="BB101" i="32"/>
  <c r="BB100" i="32"/>
  <c r="BB99" i="32"/>
  <c r="BB97" i="32"/>
  <c r="BB96" i="32"/>
  <c r="BB93" i="32"/>
  <c r="BB92" i="32"/>
  <c r="BB91" i="32"/>
  <c r="BB90" i="32"/>
  <c r="BB89" i="32"/>
  <c r="BB88" i="32"/>
  <c r="BB87" i="32"/>
  <c r="BB86" i="32"/>
  <c r="BB85" i="32"/>
  <c r="BB84" i="32"/>
  <c r="BB83" i="32"/>
  <c r="BB82" i="32"/>
  <c r="BB81" i="32"/>
  <c r="BB80" i="32"/>
  <c r="BB79" i="32"/>
  <c r="BB78" i="32"/>
  <c r="BB77" i="32"/>
  <c r="BB76" i="32"/>
  <c r="BB75" i="32"/>
  <c r="BB74" i="32"/>
  <c r="BB73" i="32"/>
  <c r="BB72" i="32"/>
  <c r="BB71" i="32"/>
  <c r="BB70" i="32"/>
  <c r="BB69" i="32"/>
  <c r="BB68" i="32"/>
  <c r="BB67" i="32"/>
  <c r="BB66" i="32"/>
  <c r="BB63" i="32"/>
  <c r="BB62" i="32"/>
  <c r="BB61" i="32"/>
  <c r="BB60" i="32"/>
  <c r="BB59" i="32"/>
  <c r="BB58" i="32"/>
  <c r="BB57" i="32"/>
  <c r="BB56" i="32"/>
  <c r="BB55" i="32"/>
  <c r="BB54" i="32"/>
  <c r="BB53" i="32"/>
  <c r="BB52" i="32"/>
  <c r="BB51" i="32"/>
  <c r="BB50" i="32"/>
  <c r="BB49" i="32"/>
  <c r="BB48" i="32"/>
  <c r="BB47" i="32"/>
  <c r="BB46" i="32"/>
  <c r="BB45" i="32"/>
  <c r="BB44" i="32"/>
  <c r="BB43" i="32"/>
  <c r="BB42" i="32"/>
  <c r="BB41" i="32"/>
  <c r="BB40" i="32"/>
  <c r="BB39" i="32"/>
  <c r="BB38" i="32"/>
  <c r="BB37" i="32"/>
  <c r="BB36" i="32"/>
  <c r="BB34" i="32"/>
  <c r="BC31" i="32"/>
  <c r="BB31" i="32"/>
  <c r="BC29" i="32"/>
  <c r="BB29" i="32"/>
  <c r="BC28" i="32"/>
  <c r="BB28" i="32"/>
  <c r="BB24" i="32"/>
  <c r="BB22" i="32"/>
  <c r="BB21" i="32"/>
  <c r="BB29" i="25"/>
  <c r="BC149" i="25"/>
  <c r="BC139" i="25"/>
  <c r="BC138" i="25"/>
  <c r="BC146" i="25"/>
  <c r="BC145" i="25"/>
  <c r="BC141" i="25"/>
  <c r="BB149" i="25"/>
  <c r="BB139" i="25"/>
  <c r="BB138" i="25"/>
  <c r="BB146" i="25"/>
  <c r="BB145" i="25"/>
  <c r="BB141" i="25"/>
  <c r="BC135" i="25"/>
  <c r="BB135" i="25"/>
  <c r="BC134" i="25"/>
  <c r="BB134" i="25"/>
  <c r="BC132" i="25"/>
  <c r="BB132" i="25"/>
  <c r="BC131" i="25"/>
  <c r="BB131" i="25"/>
  <c r="BC130" i="25"/>
  <c r="BB130" i="25"/>
  <c r="BC127" i="25"/>
  <c r="BB127" i="25"/>
  <c r="BC126" i="25"/>
  <c r="BB126" i="25"/>
  <c r="BB119" i="25"/>
  <c r="BB118" i="25"/>
  <c r="BB115" i="25"/>
  <c r="BB114" i="25"/>
  <c r="BB113" i="25"/>
  <c r="BB112" i="25"/>
  <c r="BC119" i="25"/>
  <c r="BC118" i="25"/>
  <c r="BC115" i="25"/>
  <c r="BC114" i="25"/>
  <c r="BC113" i="25"/>
  <c r="BC112" i="25"/>
  <c r="BB99" i="15"/>
  <c r="BB98" i="15"/>
  <c r="BB97" i="15"/>
  <c r="BB96" i="15"/>
  <c r="BB95" i="15"/>
  <c r="BB94" i="15"/>
  <c r="BB93" i="15"/>
  <c r="BB92" i="15"/>
  <c r="BB91" i="15"/>
  <c r="BB90" i="15"/>
  <c r="BB89" i="15"/>
  <c r="BB88" i="15"/>
  <c r="BB87" i="15"/>
  <c r="BB86" i="15"/>
  <c r="BB85" i="15"/>
  <c r="BB83" i="15"/>
  <c r="BB82" i="15"/>
  <c r="BB81" i="15"/>
  <c r="BB80" i="15"/>
  <c r="BB79" i="15"/>
  <c r="BB78" i="15"/>
  <c r="BB77" i="15"/>
  <c r="BB76" i="15"/>
  <c r="BB75" i="15"/>
  <c r="BB74" i="15"/>
  <c r="BB73" i="15"/>
  <c r="BB72" i="15"/>
  <c r="BB71" i="15"/>
  <c r="BB70" i="15"/>
  <c r="BB69" i="15"/>
  <c r="BC64" i="15"/>
  <c r="BB64" i="15"/>
  <c r="G99" i="15"/>
  <c r="G98" i="15"/>
  <c r="G97" i="15"/>
  <c r="G96" i="15"/>
  <c r="G95" i="15"/>
  <c r="G94" i="15"/>
  <c r="G93" i="15"/>
  <c r="G92" i="15"/>
  <c r="G91" i="15"/>
  <c r="G90" i="15"/>
  <c r="G89" i="15"/>
  <c r="G88" i="15"/>
  <c r="G87" i="15"/>
  <c r="G86" i="15"/>
  <c r="G85" i="15"/>
  <c r="G83" i="15"/>
  <c r="G82" i="15"/>
  <c r="G81" i="15"/>
  <c r="G80" i="15"/>
  <c r="G79" i="15"/>
  <c r="G78" i="15"/>
  <c r="G77" i="15"/>
  <c r="G76" i="15"/>
  <c r="G75" i="15"/>
  <c r="G74" i="15"/>
  <c r="G73" i="15"/>
  <c r="G72" i="15"/>
  <c r="G71" i="15"/>
  <c r="G70" i="15"/>
  <c r="G69" i="15"/>
  <c r="BC287" i="15"/>
  <c r="BB287" i="15"/>
  <c r="BC277" i="15"/>
  <c r="BB277" i="15"/>
  <c r="BC276" i="15"/>
  <c r="BB276" i="15"/>
  <c r="BC284" i="15"/>
  <c r="BB284" i="15"/>
  <c r="BC283" i="15"/>
  <c r="BB283" i="15"/>
  <c r="BC279" i="15"/>
  <c r="BB279" i="15"/>
  <c r="BC273" i="15"/>
  <c r="BB273" i="15"/>
  <c r="BC272" i="15"/>
  <c r="BB272" i="15"/>
  <c r="BC270" i="15"/>
  <c r="BB270" i="15"/>
  <c r="BC269" i="15"/>
  <c r="BB269" i="15"/>
  <c r="BC268" i="15"/>
  <c r="BB268" i="15"/>
  <c r="BC265" i="15"/>
  <c r="BB265" i="15"/>
  <c r="BC264" i="15"/>
  <c r="BB264" i="15"/>
  <c r="BD202" i="15"/>
  <c r="BC202" i="15"/>
  <c r="BB202" i="15"/>
  <c r="BB213" i="15"/>
  <c r="BD180" i="15"/>
  <c r="BC180" i="15"/>
  <c r="BB180" i="15"/>
  <c r="BD179" i="15"/>
  <c r="BC179" i="15"/>
  <c r="BB179" i="15"/>
  <c r="BB153" i="15"/>
  <c r="BC763" i="35"/>
  <c r="BC762" i="35"/>
  <c r="BC761" i="35"/>
  <c r="BC760" i="35"/>
  <c r="BC759" i="35"/>
  <c r="BC758" i="35"/>
  <c r="BC757" i="35"/>
  <c r="BC756" i="35"/>
  <c r="BC755" i="35"/>
  <c r="BC754" i="35"/>
  <c r="BC753" i="35"/>
  <c r="BC729" i="35"/>
  <c r="BC728" i="35"/>
  <c r="BC727" i="35"/>
  <c r="BC726" i="35"/>
  <c r="BC725" i="35"/>
  <c r="BC724" i="35"/>
  <c r="BC723" i="35"/>
  <c r="BC722" i="35"/>
  <c r="BC721" i="35"/>
  <c r="BC720" i="35"/>
  <c r="BC719" i="35"/>
  <c r="BC718" i="35"/>
  <c r="BC717" i="35"/>
  <c r="BC716" i="35"/>
  <c r="BC715" i="35"/>
  <c r="BC714" i="35"/>
  <c r="BC713" i="35"/>
  <c r="BC712" i="35"/>
  <c r="BC711" i="35"/>
  <c r="BC710" i="35"/>
  <c r="BC709" i="35"/>
  <c r="BC708" i="35"/>
  <c r="BC707" i="35"/>
  <c r="BC706" i="35"/>
  <c r="BC705" i="35"/>
  <c r="BC704" i="35"/>
  <c r="BC703" i="35"/>
  <c r="BC702" i="35"/>
  <c r="BC701" i="35"/>
  <c r="BC700" i="35"/>
  <c r="BC699" i="35"/>
  <c r="BC695" i="35"/>
  <c r="BC694" i="35"/>
  <c r="BC693" i="35"/>
  <c r="BC692" i="35"/>
  <c r="BC691" i="35"/>
  <c r="BC615" i="35"/>
  <c r="BC614" i="35"/>
  <c r="BC613" i="35"/>
  <c r="BC612" i="35"/>
  <c r="BC611" i="35"/>
  <c r="BC610" i="35"/>
  <c r="BC609" i="35"/>
  <c r="BC608" i="35"/>
  <c r="BC607" i="35"/>
  <c r="BC606" i="35"/>
  <c r="BC605" i="35"/>
  <c r="BC604" i="35"/>
  <c r="BC603" i="35"/>
  <c r="BC602" i="35"/>
  <c r="BC601" i="35"/>
  <c r="BC600" i="35"/>
  <c r="BC599" i="35"/>
  <c r="BC598" i="35"/>
  <c r="BC597" i="35"/>
  <c r="BC596" i="35"/>
  <c r="BC595" i="35"/>
  <c r="BC594" i="35"/>
  <c r="BC593" i="35"/>
  <c r="BC592" i="35"/>
  <c r="BC591" i="35"/>
  <c r="BC590" i="35"/>
  <c r="BC589" i="35"/>
  <c r="BC588" i="35"/>
  <c r="BC587" i="35"/>
  <c r="BC586" i="35"/>
  <c r="BC585" i="35"/>
  <c r="BC584" i="35"/>
  <c r="BC583" i="35"/>
  <c r="BC582" i="35"/>
  <c r="BC581" i="35"/>
  <c r="BC580" i="35"/>
  <c r="BC579" i="35"/>
  <c r="BC578" i="35"/>
  <c r="BC577" i="35"/>
  <c r="BC576" i="35"/>
  <c r="BC575" i="35"/>
  <c r="BC574" i="35"/>
  <c r="BC573" i="35"/>
  <c r="BC572" i="35"/>
  <c r="BC571" i="35"/>
  <c r="BC570" i="35"/>
  <c r="BC569" i="35"/>
  <c r="BC568" i="35"/>
  <c r="BC567" i="35"/>
  <c r="BC566" i="35"/>
  <c r="BC565" i="35"/>
  <c r="BC564" i="35"/>
  <c r="BC563" i="35"/>
  <c r="BC562" i="35"/>
  <c r="BC561" i="35"/>
  <c r="BC560" i="35"/>
  <c r="BC559" i="35"/>
  <c r="BC558" i="35"/>
  <c r="BC557" i="35"/>
  <c r="BC556" i="35"/>
  <c r="BC555" i="35"/>
  <c r="BC554" i="35"/>
  <c r="BC553" i="35"/>
  <c r="BC552" i="35"/>
  <c r="BC551" i="35"/>
  <c r="BC550" i="35"/>
  <c r="BC549" i="35"/>
  <c r="BC548" i="35"/>
  <c r="BC547" i="35"/>
  <c r="BC546" i="35"/>
  <c r="BC545" i="35"/>
  <c r="BC544" i="35"/>
  <c r="BC543" i="35"/>
  <c r="BC542" i="35"/>
  <c r="BC541" i="35"/>
  <c r="BC540" i="35"/>
  <c r="BC539" i="35"/>
  <c r="BC538" i="35"/>
  <c r="BC537" i="35"/>
  <c r="BC536" i="35"/>
  <c r="BC535" i="35"/>
  <c r="BC534" i="35"/>
  <c r="BC533" i="35"/>
  <c r="BC532" i="35"/>
  <c r="BC531" i="35"/>
  <c r="BC530" i="35"/>
  <c r="BC529" i="35"/>
  <c r="BC528" i="35"/>
  <c r="BC527" i="35"/>
  <c r="BC526" i="35"/>
  <c r="BC525" i="35"/>
  <c r="BC524" i="35"/>
  <c r="BC523" i="35"/>
  <c r="BC522" i="35"/>
  <c r="BC521" i="35"/>
  <c r="BC520" i="35"/>
  <c r="BC519" i="35"/>
  <c r="BC518" i="35"/>
  <c r="BC517" i="35"/>
  <c r="BC516" i="35"/>
  <c r="BC515" i="35"/>
  <c r="BC514" i="35"/>
  <c r="BC513" i="35"/>
  <c r="BC512" i="35"/>
  <c r="BC511" i="35"/>
  <c r="BC510" i="35"/>
  <c r="BC509" i="35"/>
  <c r="BC508" i="35"/>
  <c r="BC507" i="35"/>
  <c r="BC506" i="35"/>
  <c r="BC505" i="35"/>
  <c r="BC504" i="35"/>
  <c r="BC503" i="35"/>
  <c r="BC502" i="35"/>
  <c r="BC501" i="35"/>
  <c r="BC500" i="35"/>
  <c r="BC499" i="35"/>
  <c r="BC498" i="35"/>
  <c r="BC497" i="35"/>
  <c r="BC496" i="35"/>
  <c r="BC495" i="35"/>
  <c r="BC494" i="35"/>
  <c r="BC493" i="35"/>
  <c r="BC492" i="35"/>
  <c r="BC491" i="35"/>
  <c r="BC490" i="35"/>
  <c r="BC489" i="35"/>
  <c r="BC488" i="35"/>
  <c r="BC487" i="35"/>
  <c r="BC486" i="35"/>
  <c r="BC485" i="35"/>
  <c r="BC484" i="35"/>
  <c r="BC483" i="35"/>
  <c r="BC482" i="35"/>
  <c r="BC481" i="35"/>
  <c r="BC480" i="35"/>
  <c r="BC479" i="35"/>
  <c r="BC478" i="35"/>
  <c r="BC477" i="35"/>
  <c r="BC476" i="35"/>
  <c r="BC475" i="35"/>
  <c r="BC474" i="35"/>
  <c r="BC473" i="35"/>
  <c r="BC472" i="35"/>
  <c r="BC471" i="35"/>
  <c r="BC470" i="35"/>
  <c r="BC469" i="35"/>
  <c r="BC468" i="35"/>
  <c r="BC467" i="35"/>
  <c r="BC466" i="35"/>
  <c r="BC465" i="35"/>
  <c r="BC464" i="35"/>
  <c r="BC463" i="35"/>
  <c r="BC462" i="35"/>
  <c r="BC461" i="35"/>
  <c r="BC460" i="35"/>
  <c r="BC459" i="35"/>
  <c r="BC458" i="35"/>
  <c r="BC457" i="35"/>
  <c r="BC456" i="35"/>
  <c r="BC455" i="35"/>
  <c r="BC454" i="35"/>
  <c r="BC453" i="35"/>
  <c r="BC452" i="35"/>
  <c r="BC451" i="35"/>
  <c r="BC450" i="35"/>
  <c r="BC449" i="35"/>
  <c r="BC448" i="35"/>
  <c r="BC447" i="35"/>
  <c r="BC446" i="35"/>
  <c r="BC445" i="35"/>
  <c r="BC444" i="35"/>
  <c r="BC443" i="35"/>
  <c r="BC442" i="35"/>
  <c r="BC441" i="35"/>
  <c r="BC440" i="35"/>
  <c r="BC439" i="35"/>
  <c r="BC438" i="35"/>
  <c r="BC437" i="35"/>
  <c r="BC436" i="35"/>
  <c r="BC435" i="35"/>
  <c r="BC434" i="35"/>
  <c r="BC433" i="35"/>
  <c r="BC432" i="35"/>
  <c r="BC431" i="35"/>
  <c r="BC430" i="35"/>
  <c r="BC429" i="35"/>
  <c r="BC428" i="35"/>
  <c r="BC427" i="35"/>
  <c r="BC426" i="35"/>
  <c r="BC425" i="35"/>
  <c r="BC424" i="35"/>
  <c r="BC423" i="35"/>
  <c r="BC422" i="35"/>
  <c r="BC421" i="35"/>
  <c r="BC420" i="35"/>
  <c r="BC419" i="35"/>
  <c r="BC418" i="35"/>
  <c r="BC417" i="35"/>
  <c r="BC416" i="35"/>
  <c r="BC415" i="35"/>
  <c r="BC414" i="35"/>
  <c r="BC413" i="35"/>
  <c r="BC412" i="35"/>
  <c r="BC411" i="35"/>
  <c r="BC410" i="35"/>
  <c r="BC409" i="35"/>
  <c r="BC408" i="35"/>
  <c r="BC407" i="35"/>
  <c r="BC406" i="35"/>
  <c r="BC405" i="35"/>
  <c r="BC404" i="35"/>
  <c r="BC403" i="35"/>
  <c r="BC402" i="35"/>
  <c r="BC401" i="35"/>
  <c r="BC400" i="35"/>
  <c r="BC399" i="35"/>
  <c r="BC398" i="35"/>
  <c r="BC397" i="35"/>
  <c r="BC396" i="35"/>
  <c r="BC395" i="35"/>
  <c r="BC394" i="35"/>
  <c r="BC393" i="35"/>
  <c r="BC392" i="35"/>
  <c r="BC391" i="35"/>
  <c r="BC390" i="35"/>
  <c r="BC389" i="35"/>
  <c r="BC388" i="35"/>
  <c r="BC387" i="35"/>
  <c r="BC386" i="35"/>
  <c r="BC385" i="35"/>
  <c r="BC384" i="35"/>
  <c r="BC383" i="35"/>
  <c r="BC382" i="35"/>
  <c r="BC381" i="35"/>
  <c r="BC380" i="35"/>
  <c r="BC379" i="35"/>
  <c r="BC378" i="35"/>
  <c r="BC377" i="35"/>
  <c r="BC376" i="35"/>
  <c r="BC375" i="35"/>
  <c r="BC374" i="35"/>
  <c r="BC373" i="35"/>
  <c r="BC372" i="35"/>
  <c r="BC371" i="35"/>
  <c r="BC370" i="35"/>
  <c r="BC369" i="35"/>
  <c r="BC368" i="35"/>
  <c r="BC367" i="35"/>
  <c r="BC366" i="35"/>
  <c r="BC365" i="35"/>
  <c r="BC364" i="35"/>
  <c r="BC363" i="35"/>
  <c r="BC362" i="35"/>
  <c r="BC361" i="35"/>
  <c r="BC360" i="35"/>
  <c r="BC359" i="35"/>
  <c r="BC355" i="35"/>
  <c r="BC354" i="35"/>
  <c r="BC353" i="35"/>
  <c r="BC352" i="35"/>
  <c r="BC351" i="35"/>
  <c r="BC350" i="35"/>
  <c r="BC349" i="35"/>
  <c r="BC348" i="35"/>
  <c r="BC347" i="35"/>
  <c r="BC346" i="35"/>
  <c r="BC345" i="35"/>
  <c r="BC344" i="35"/>
  <c r="BC343" i="35"/>
  <c r="BC342" i="35"/>
  <c r="BC341" i="35"/>
  <c r="BC340" i="35"/>
  <c r="BC339" i="35"/>
  <c r="BC338" i="35"/>
  <c r="BC337" i="35"/>
  <c r="BC336" i="35"/>
  <c r="BC335" i="35"/>
  <c r="BC334" i="35"/>
  <c r="BC333" i="35"/>
  <c r="BC332" i="35"/>
  <c r="BC331" i="35"/>
  <c r="BC330" i="35"/>
  <c r="BC329" i="35"/>
  <c r="BC328" i="35"/>
  <c r="BC327" i="35"/>
  <c r="BC326" i="35"/>
  <c r="BC325" i="35"/>
  <c r="BC324" i="35"/>
  <c r="BC323" i="35"/>
  <c r="BC322" i="35"/>
  <c r="BC321" i="35"/>
  <c r="BC320" i="35"/>
  <c r="BC319" i="35"/>
  <c r="BC318" i="35"/>
  <c r="BC317" i="35"/>
  <c r="BC316" i="35"/>
  <c r="BC315" i="35"/>
  <c r="BC314" i="35"/>
  <c r="BC313" i="35"/>
  <c r="BC312" i="35"/>
  <c r="BC311" i="35"/>
  <c r="BC310" i="35"/>
  <c r="BC309" i="35"/>
  <c r="BC308" i="35"/>
  <c r="BC307" i="35"/>
  <c r="BC306" i="35"/>
  <c r="BC305" i="35"/>
  <c r="BC304" i="35"/>
  <c r="BC303" i="35"/>
  <c r="BC302" i="35"/>
  <c r="BC301" i="35"/>
  <c r="BC300" i="35"/>
  <c r="BC299" i="35"/>
  <c r="BC298" i="35"/>
  <c r="BC297" i="35"/>
  <c r="BC296" i="35"/>
  <c r="BC295" i="35"/>
  <c r="BC294" i="35"/>
  <c r="BC293" i="35"/>
  <c r="BC292" i="35"/>
  <c r="BC291" i="35"/>
  <c r="BC290" i="35"/>
  <c r="BC289" i="35"/>
  <c r="BC288" i="35"/>
  <c r="BC287" i="35"/>
  <c r="BC286" i="35"/>
  <c r="BC285" i="35"/>
  <c r="BC284" i="35"/>
  <c r="BC283" i="35"/>
  <c r="BC282" i="35"/>
  <c r="BC281" i="35"/>
  <c r="BC280" i="35"/>
  <c r="BC279" i="35"/>
  <c r="BC278" i="35"/>
  <c r="BC277" i="35"/>
  <c r="BC276" i="35"/>
  <c r="BC275" i="35"/>
  <c r="BC274" i="35"/>
  <c r="BC273" i="35"/>
  <c r="BC272" i="35"/>
  <c r="BC271" i="35"/>
  <c r="BC270" i="35"/>
  <c r="BC269" i="35"/>
  <c r="BC268" i="35"/>
  <c r="BC267" i="35"/>
  <c r="BC266" i="35"/>
  <c r="BC265" i="35"/>
  <c r="BC264" i="35"/>
  <c r="BC263" i="35"/>
  <c r="BC262" i="35"/>
  <c r="BC261" i="35"/>
  <c r="BC260" i="35"/>
  <c r="BC259" i="35"/>
  <c r="BC258" i="35"/>
  <c r="BC257" i="35"/>
  <c r="BC256" i="35"/>
  <c r="BC255" i="35"/>
  <c r="BC254" i="35"/>
  <c r="BC253" i="35"/>
  <c r="BC252" i="35"/>
  <c r="BC251" i="35"/>
  <c r="BC250" i="35"/>
  <c r="BC249" i="35"/>
  <c r="BC248" i="35"/>
  <c r="BC247" i="35"/>
  <c r="BC246" i="35"/>
  <c r="BC245" i="35"/>
  <c r="BC244" i="35"/>
  <c r="BC243" i="35"/>
  <c r="BC242" i="35"/>
  <c r="BC241" i="35"/>
  <c r="BC240" i="35"/>
  <c r="BC239" i="35"/>
  <c r="BC238" i="35"/>
  <c r="BC237" i="35"/>
  <c r="BC236" i="35"/>
  <c r="BC235" i="35"/>
  <c r="BC234" i="35"/>
  <c r="BC233" i="35"/>
  <c r="BC232" i="35"/>
  <c r="BC231" i="35"/>
  <c r="BC230" i="35"/>
  <c r="BC229" i="35"/>
  <c r="BC228" i="35"/>
  <c r="BC227" i="35"/>
  <c r="BC226" i="35"/>
  <c r="BC225" i="35"/>
  <c r="BC224" i="35"/>
  <c r="BC223" i="35"/>
  <c r="BC222" i="35"/>
  <c r="BC221" i="35"/>
  <c r="BC220" i="35"/>
  <c r="BC219" i="35"/>
  <c r="BC218" i="35"/>
  <c r="BC217" i="35"/>
  <c r="BC216" i="35"/>
  <c r="BC215" i="35"/>
  <c r="BC214" i="35"/>
  <c r="BC213" i="35"/>
  <c r="BC212" i="35"/>
  <c r="BC211" i="35"/>
  <c r="BC210" i="35"/>
  <c r="BC209" i="35"/>
  <c r="BC208" i="35"/>
  <c r="BC207" i="35"/>
  <c r="BC206" i="35"/>
  <c r="BC205" i="35"/>
  <c r="BC204" i="35"/>
  <c r="BC203" i="35"/>
  <c r="BC202" i="35"/>
  <c r="BC201" i="35"/>
  <c r="BC200" i="35"/>
  <c r="BC199" i="35"/>
  <c r="BC198" i="35"/>
  <c r="BC197" i="35"/>
  <c r="BC196" i="35"/>
  <c r="BC195" i="35"/>
  <c r="BC194" i="35"/>
  <c r="BC193" i="35"/>
  <c r="BC192" i="35"/>
  <c r="BC191" i="35"/>
  <c r="BC190" i="35"/>
  <c r="BC189" i="35"/>
  <c r="BC188" i="35"/>
  <c r="BC187" i="35"/>
  <c r="BC186" i="35"/>
  <c r="BC185" i="35"/>
  <c r="BC184" i="35"/>
  <c r="BC183" i="35"/>
  <c r="BC182" i="35"/>
  <c r="BC181" i="35"/>
  <c r="BC180" i="35"/>
  <c r="BC179" i="35"/>
  <c r="BC178" i="35"/>
  <c r="BC177" i="35"/>
  <c r="BC176" i="35"/>
  <c r="BC175" i="35"/>
  <c r="BC174" i="35"/>
  <c r="BC173" i="35"/>
  <c r="BC172" i="35"/>
  <c r="BC171" i="35"/>
  <c r="BC170" i="35"/>
  <c r="BC169" i="35"/>
  <c r="BC168" i="35"/>
  <c r="BC167" i="35"/>
  <c r="BC166" i="35"/>
  <c r="BC165" i="35"/>
  <c r="BC164" i="35"/>
  <c r="BC163" i="35"/>
  <c r="BC162" i="35"/>
  <c r="BC161" i="35"/>
  <c r="BC160" i="35"/>
  <c r="BC159" i="35"/>
  <c r="BC158" i="35"/>
  <c r="BC157" i="35"/>
  <c r="BC156" i="35"/>
  <c r="BC155" i="35"/>
  <c r="BC154" i="35"/>
  <c r="BC153" i="35"/>
  <c r="BC152" i="35"/>
  <c r="BC151" i="35"/>
  <c r="BC150" i="35"/>
  <c r="BC149" i="35"/>
  <c r="BC148" i="35"/>
  <c r="BC147" i="35"/>
  <c r="BC146" i="35"/>
  <c r="BC145" i="35"/>
  <c r="BC144" i="35"/>
  <c r="BC143" i="35"/>
  <c r="BC142" i="35"/>
  <c r="BC141" i="35"/>
  <c r="BC140" i="35"/>
  <c r="BC139" i="35"/>
  <c r="BC138" i="35"/>
  <c r="BC137" i="35"/>
  <c r="BC136" i="35"/>
  <c r="BC135" i="35"/>
  <c r="BC134" i="35"/>
  <c r="BC133" i="35"/>
  <c r="BC132" i="35"/>
  <c r="BC131" i="35"/>
  <c r="BC130" i="35"/>
  <c r="BC129" i="35"/>
  <c r="BC128" i="35"/>
  <c r="BC127" i="35"/>
  <c r="BC126" i="35"/>
  <c r="BC125" i="35"/>
  <c r="BC124" i="35"/>
  <c r="BC123" i="35"/>
  <c r="BC122" i="35"/>
  <c r="BC121" i="35"/>
  <c r="BC120" i="35"/>
  <c r="BC119" i="35"/>
  <c r="BC118" i="35"/>
  <c r="BC117" i="35"/>
  <c r="BC116" i="35"/>
  <c r="BC115" i="35"/>
  <c r="BC114" i="35"/>
  <c r="BC113" i="35"/>
  <c r="BC112" i="35"/>
  <c r="BC111" i="35"/>
  <c r="BC110" i="35"/>
  <c r="BC109" i="35"/>
  <c r="BC108" i="35"/>
  <c r="BC107" i="35"/>
  <c r="BC93" i="35"/>
  <c r="BC92" i="35"/>
  <c r="BC91" i="35"/>
  <c r="BC90" i="35"/>
  <c r="BC89" i="35"/>
  <c r="BC88" i="35"/>
  <c r="BC87" i="35"/>
  <c r="BC86" i="35"/>
  <c r="BC85" i="35"/>
  <c r="BC84" i="35"/>
  <c r="BC83" i="35"/>
  <c r="BC82" i="35"/>
  <c r="BC81" i="35"/>
  <c r="BC80" i="35"/>
  <c r="BC79" i="35"/>
  <c r="BC78" i="35"/>
  <c r="BC77" i="35"/>
  <c r="BC76" i="35"/>
  <c r="BC75" i="35"/>
  <c r="BC74" i="35"/>
  <c r="BC73" i="35"/>
  <c r="BC72" i="35"/>
  <c r="BC71" i="35"/>
  <c r="BC70" i="35"/>
  <c r="BC69" i="35"/>
  <c r="BC68" i="35"/>
  <c r="BC67" i="35"/>
  <c r="BC66" i="35"/>
  <c r="BC65" i="35"/>
  <c r="BC64" i="35"/>
  <c r="BC63" i="35"/>
  <c r="BC62" i="35"/>
  <c r="BC61" i="35"/>
  <c r="BC60" i="35"/>
  <c r="BC59" i="35"/>
  <c r="BC58" i="35"/>
  <c r="BC57" i="35"/>
  <c r="BC56" i="35"/>
  <c r="BC55" i="35"/>
  <c r="BC54" i="35"/>
  <c r="BC50" i="35"/>
  <c r="BC49" i="35"/>
  <c r="BC48" i="35"/>
  <c r="BC47" i="35"/>
  <c r="BC46" i="35"/>
  <c r="BC45" i="35"/>
  <c r="BC44" i="35"/>
  <c r="BC43" i="35"/>
  <c r="BC42" i="35"/>
  <c r="BC41" i="35"/>
  <c r="BC40" i="35"/>
  <c r="BC39" i="35"/>
  <c r="BC38" i="35"/>
  <c r="BC37" i="35"/>
  <c r="BC36" i="35"/>
  <c r="BC35" i="35"/>
  <c r="BC34" i="35"/>
  <c r="BC33" i="35"/>
  <c r="BC32" i="35"/>
  <c r="BC31" i="35"/>
  <c r="BC30" i="35"/>
  <c r="BC29" i="35"/>
  <c r="BC28" i="35"/>
  <c r="BC27" i="35"/>
  <c r="BC26" i="35"/>
  <c r="BC25" i="35"/>
  <c r="BC24" i="35"/>
  <c r="BC23" i="35"/>
  <c r="BC22" i="35"/>
  <c r="BC21" i="35"/>
  <c r="BC20" i="35"/>
  <c r="BC19" i="35"/>
  <c r="BC18" i="35"/>
  <c r="BC17" i="35"/>
  <c r="BC16" i="35"/>
  <c r="BC15" i="35"/>
  <c r="BC14" i="35"/>
  <c r="BC13" i="35"/>
  <c r="BC12" i="35"/>
  <c r="BC11" i="35"/>
  <c r="BC10" i="35"/>
  <c r="BC9" i="35"/>
  <c r="BC186" i="26"/>
  <c r="BC185" i="26"/>
  <c r="BC183" i="26"/>
  <c r="BB186" i="26"/>
  <c r="BB185" i="26"/>
  <c r="BB183" i="26"/>
  <c r="BD146" i="26"/>
  <c r="BC146" i="26"/>
  <c r="BB146" i="26"/>
  <c r="BC42" i="26"/>
  <c r="BB42" i="26"/>
  <c r="BB41" i="26"/>
  <c r="BC37" i="26"/>
  <c r="BB37" i="26"/>
  <c r="BC36" i="26"/>
  <c r="BB36" i="26"/>
  <c r="BC581" i="14"/>
  <c r="BB581" i="14"/>
  <c r="BC580" i="14"/>
  <c r="BB580" i="14"/>
  <c r="BC578" i="14"/>
  <c r="BB578" i="14"/>
  <c r="BC500" i="14"/>
  <c r="BB500" i="14"/>
  <c r="BC499" i="14"/>
  <c r="BB499" i="14"/>
  <c r="BC498" i="14"/>
  <c r="BB498" i="14"/>
  <c r="BC497" i="14"/>
  <c r="BB497" i="14"/>
  <c r="BC496" i="14"/>
  <c r="BB496" i="14"/>
  <c r="BC495" i="14"/>
  <c r="BB495" i="14"/>
  <c r="BC494" i="14"/>
  <c r="BB494" i="14"/>
  <c r="BC493" i="14"/>
  <c r="BB493" i="14"/>
  <c r="BC492" i="14"/>
  <c r="BB492" i="14"/>
  <c r="BC491" i="14"/>
  <c r="BB491" i="14"/>
  <c r="BC490" i="14"/>
  <c r="BB490" i="14"/>
  <c r="BC489" i="14"/>
  <c r="BB489" i="14"/>
  <c r="BC488" i="14"/>
  <c r="BB488" i="14"/>
  <c r="BC487" i="14"/>
  <c r="BB487" i="14"/>
  <c r="BC485" i="14"/>
  <c r="BB485" i="14"/>
  <c r="BC484" i="14"/>
  <c r="BB484" i="14"/>
  <c r="BC483" i="14"/>
  <c r="BB483" i="14"/>
  <c r="BC482" i="14"/>
  <c r="BB482" i="14"/>
  <c r="BC481" i="14"/>
  <c r="BB481" i="14"/>
  <c r="BC480" i="14"/>
  <c r="BB480" i="14"/>
  <c r="BC479" i="14"/>
  <c r="BB479" i="14"/>
  <c r="BC478" i="14"/>
  <c r="BB478" i="14"/>
  <c r="BC477" i="14"/>
  <c r="BB477" i="14"/>
  <c r="BC476" i="14"/>
  <c r="BB476" i="14"/>
  <c r="BC475" i="14"/>
  <c r="BB475" i="14"/>
  <c r="BC474" i="14"/>
  <c r="BB474" i="14"/>
  <c r="BC473" i="14"/>
  <c r="BB473" i="14"/>
  <c r="BC472" i="14"/>
  <c r="BB472" i="14"/>
  <c r="BD425" i="14"/>
  <c r="BB425" i="14"/>
  <c r="BD424" i="14"/>
  <c r="BB424" i="14"/>
  <c r="BD423" i="14"/>
  <c r="BB423" i="14"/>
  <c r="BD422" i="14"/>
  <c r="BB422" i="14"/>
  <c r="BD421" i="14"/>
  <c r="BB421" i="14"/>
  <c r="BD420" i="14"/>
  <c r="BB420" i="14"/>
  <c r="BD419" i="14"/>
  <c r="BB419" i="14"/>
  <c r="BD418" i="14"/>
  <c r="BB418" i="14"/>
  <c r="BD417" i="14"/>
  <c r="BB417" i="14"/>
  <c r="BD416" i="14"/>
  <c r="BB416" i="14"/>
  <c r="BD415" i="14"/>
  <c r="BB415" i="14"/>
  <c r="BD414" i="14"/>
  <c r="BB414" i="14"/>
  <c r="BD413" i="14"/>
  <c r="BB413" i="14"/>
  <c r="BD412" i="14"/>
  <c r="BB412" i="14"/>
  <c r="BD411" i="14"/>
  <c r="BB411" i="14"/>
  <c r="BD410" i="14"/>
  <c r="BB410" i="14"/>
  <c r="BD409" i="14"/>
  <c r="BB409" i="14"/>
  <c r="BD408" i="14"/>
  <c r="BB408" i="14"/>
  <c r="BD407" i="14"/>
  <c r="BB407" i="14"/>
  <c r="BD406" i="14"/>
  <c r="BB406" i="14"/>
  <c r="BD405" i="14"/>
  <c r="BB405" i="14"/>
  <c r="BD404" i="14"/>
  <c r="BB404" i="14"/>
  <c r="BD403" i="14"/>
  <c r="BB403" i="14"/>
  <c r="BD402" i="14"/>
  <c r="BB402" i="14"/>
  <c r="BD401" i="14"/>
  <c r="BB401" i="14"/>
  <c r="BD400" i="14"/>
  <c r="BB400" i="14"/>
  <c r="BD399" i="14"/>
  <c r="BB399" i="14"/>
  <c r="BD398" i="14"/>
  <c r="BB398" i="14"/>
  <c r="BD397" i="14"/>
  <c r="BB397" i="14"/>
  <c r="BD396" i="14"/>
  <c r="BB396" i="14"/>
  <c r="BD395" i="14"/>
  <c r="BB395" i="14"/>
  <c r="BD394" i="14"/>
  <c r="BB394" i="14"/>
  <c r="BD393" i="14"/>
  <c r="BB393" i="14"/>
  <c r="BD392" i="14"/>
  <c r="BB392" i="14"/>
  <c r="BD391" i="14"/>
  <c r="BB391" i="14"/>
  <c r="BD390" i="14"/>
  <c r="BB390" i="14"/>
  <c r="BD389" i="14"/>
  <c r="BB389" i="14"/>
  <c r="BD388" i="14"/>
  <c r="BB388" i="14"/>
  <c r="BD387" i="14"/>
  <c r="BB387" i="14"/>
  <c r="BD386" i="14"/>
  <c r="BB386" i="14"/>
  <c r="BD385" i="14"/>
  <c r="BB385" i="14"/>
  <c r="BD384" i="14"/>
  <c r="BB384" i="14"/>
  <c r="BD383" i="14"/>
  <c r="BB383" i="14"/>
  <c r="BD382" i="14"/>
  <c r="BB382" i="14"/>
  <c r="BD381" i="14"/>
  <c r="BB381" i="14"/>
  <c r="BD380" i="14"/>
  <c r="BB380" i="14"/>
  <c r="BD379" i="14"/>
  <c r="BB379" i="14"/>
  <c r="BD378" i="14"/>
  <c r="BB378" i="14"/>
  <c r="BD377" i="14"/>
  <c r="BB377" i="14"/>
  <c r="BD376" i="14"/>
  <c r="BB376" i="14"/>
  <c r="BD375" i="14"/>
  <c r="BB375" i="14"/>
  <c r="BD374" i="14"/>
  <c r="BB374" i="14"/>
  <c r="BD373" i="14"/>
  <c r="BB373" i="14"/>
  <c r="BD372" i="14"/>
  <c r="BB372" i="14"/>
  <c r="BD371" i="14"/>
  <c r="BB371" i="14"/>
  <c r="BD370" i="14"/>
  <c r="BB370" i="14"/>
  <c r="BD369" i="14"/>
  <c r="BB369" i="14"/>
  <c r="BD368" i="14"/>
  <c r="BB368" i="14"/>
  <c r="BD367" i="14"/>
  <c r="BB367" i="14"/>
  <c r="BD366" i="14"/>
  <c r="BB366" i="14"/>
  <c r="BD365" i="14"/>
  <c r="BB365" i="14"/>
  <c r="BD364" i="14"/>
  <c r="BB364" i="14"/>
  <c r="BD363" i="14"/>
  <c r="BB363" i="14"/>
  <c r="BD362" i="14"/>
  <c r="BB362" i="14"/>
  <c r="BD361" i="14"/>
  <c r="BB361" i="14"/>
  <c r="BD360" i="14"/>
  <c r="BB360" i="14"/>
  <c r="BD359" i="14"/>
  <c r="BB359" i="14"/>
  <c r="BD358" i="14"/>
  <c r="BB358" i="14"/>
  <c r="BD357" i="14"/>
  <c r="BB357" i="14"/>
  <c r="BD356" i="14"/>
  <c r="BB356" i="14"/>
  <c r="BD355" i="14"/>
  <c r="BB355" i="14"/>
  <c r="BD354" i="14"/>
  <c r="BB354" i="14"/>
  <c r="BD353" i="14"/>
  <c r="BB353" i="14"/>
  <c r="BD170" i="14"/>
  <c r="BB170" i="14"/>
  <c r="BD169" i="14"/>
  <c r="BB169" i="14"/>
  <c r="BD168" i="14"/>
  <c r="BB168" i="14"/>
  <c r="BD167" i="14"/>
  <c r="BB167" i="14"/>
  <c r="BD166" i="14"/>
  <c r="BB166" i="14"/>
  <c r="BD165" i="14"/>
  <c r="BB165" i="14"/>
  <c r="BD164" i="14"/>
  <c r="BB164" i="14"/>
  <c r="BD163" i="14"/>
  <c r="BB163" i="14"/>
  <c r="BD162" i="14"/>
  <c r="BB162" i="14"/>
  <c r="BD161" i="14"/>
  <c r="BB161" i="14"/>
  <c r="BD160" i="14"/>
  <c r="BB160" i="14"/>
  <c r="BD159" i="14"/>
  <c r="BB159" i="14"/>
  <c r="BD158" i="14"/>
  <c r="BB158" i="14"/>
  <c r="BD157" i="14"/>
  <c r="BB157" i="14"/>
  <c r="BD156" i="14"/>
  <c r="BB156" i="14"/>
  <c r="BD155" i="14"/>
  <c r="BB155" i="14"/>
  <c r="BD154" i="14"/>
  <c r="BB154" i="14"/>
  <c r="BD153" i="14"/>
  <c r="BB153" i="14"/>
  <c r="BD152" i="14"/>
  <c r="BB152" i="14"/>
  <c r="BD151" i="14"/>
  <c r="BB151" i="14"/>
  <c r="BD150" i="14"/>
  <c r="BB150" i="14"/>
  <c r="BD149" i="14"/>
  <c r="BB149" i="14"/>
  <c r="BD148" i="14"/>
  <c r="BB148" i="14"/>
  <c r="BD147" i="14"/>
  <c r="BB147" i="14"/>
  <c r="BD146" i="14"/>
  <c r="BB146" i="14"/>
  <c r="BD145" i="14"/>
  <c r="BB145" i="14"/>
  <c r="BD144" i="14"/>
  <c r="BB144" i="14"/>
  <c r="BD143" i="14"/>
  <c r="BB143" i="14"/>
  <c r="BD142" i="14"/>
  <c r="BB142" i="14"/>
  <c r="BD141" i="14"/>
  <c r="BB141" i="14"/>
  <c r="BD140" i="14"/>
  <c r="BB140" i="14"/>
  <c r="BD139" i="14"/>
  <c r="BB139" i="14"/>
  <c r="BD138" i="14"/>
  <c r="BB138" i="14"/>
  <c r="BD137" i="14"/>
  <c r="BB137" i="14"/>
  <c r="BD136" i="14"/>
  <c r="BB136" i="14"/>
  <c r="BD135" i="14"/>
  <c r="BB135" i="14"/>
  <c r="BD134" i="14"/>
  <c r="BB134" i="14"/>
  <c r="BD133" i="14"/>
  <c r="BB133" i="14"/>
  <c r="BD132" i="14"/>
  <c r="BB132" i="14"/>
  <c r="BD131" i="14"/>
  <c r="BB131" i="14"/>
  <c r="BD130" i="14"/>
  <c r="BB130" i="14"/>
  <c r="BD129" i="14"/>
  <c r="BB129" i="14"/>
  <c r="BD123" i="14"/>
  <c r="BC123" i="14"/>
  <c r="BB123" i="14"/>
  <c r="BD122" i="14"/>
  <c r="BC122" i="14"/>
  <c r="BB122" i="14"/>
  <c r="BD121" i="14"/>
  <c r="BC121" i="14"/>
  <c r="BB121" i="14"/>
  <c r="BD120" i="14"/>
  <c r="BC120" i="14"/>
  <c r="BB120" i="14"/>
  <c r="BD119" i="14"/>
  <c r="BC119" i="14"/>
  <c r="BB119" i="14"/>
  <c r="BD118" i="14"/>
  <c r="BC118" i="14"/>
  <c r="BB118" i="14"/>
  <c r="BD117" i="14"/>
  <c r="BC117" i="14"/>
  <c r="BB117" i="14"/>
  <c r="BD116" i="14"/>
  <c r="BC116" i="14"/>
  <c r="BB116" i="14"/>
  <c r="BD115" i="14"/>
  <c r="BC115" i="14"/>
  <c r="BB115" i="14"/>
  <c r="BD114" i="14"/>
  <c r="BC114" i="14"/>
  <c r="BB114" i="14"/>
  <c r="BD113" i="14"/>
  <c r="BC113" i="14"/>
  <c r="BB113" i="14"/>
  <c r="BD112" i="14"/>
  <c r="BC112" i="14"/>
  <c r="BB112" i="14"/>
  <c r="BD111" i="14"/>
  <c r="BC111" i="14"/>
  <c r="BB111" i="14"/>
  <c r="BD110" i="14"/>
  <c r="BC110" i="14"/>
  <c r="BB110" i="14"/>
  <c r="BD109" i="14"/>
  <c r="BC109" i="14"/>
  <c r="BB109" i="14"/>
  <c r="BD108" i="14"/>
  <c r="BC108" i="14"/>
  <c r="BB108" i="14"/>
  <c r="BD107" i="14"/>
  <c r="BC107" i="14"/>
  <c r="BB107" i="14"/>
  <c r="BD106" i="14"/>
  <c r="BC106" i="14"/>
  <c r="BB106" i="14"/>
  <c r="BC58" i="14"/>
  <c r="BB58" i="14"/>
  <c r="BC57" i="14"/>
  <c r="BB57" i="14"/>
  <c r="BC53" i="14"/>
  <c r="BB53" i="14"/>
  <c r="BC52" i="14"/>
  <c r="BB52" i="14"/>
  <c r="AX159" i="15"/>
  <c r="AW159" i="15"/>
  <c r="AV159" i="15"/>
  <c r="AU159" i="15"/>
  <c r="AT159" i="15"/>
  <c r="AS159" i="15"/>
  <c r="AR159" i="15"/>
  <c r="AQ159" i="15"/>
  <c r="AP159" i="15"/>
  <c r="AY159" i="15"/>
  <c r="AT29" i="25"/>
  <c r="AT92" i="27" s="1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G146" i="26"/>
  <c r="E662" i="35"/>
  <c r="G662" i="35"/>
  <c r="AU662" i="35"/>
  <c r="AV662" i="35"/>
  <c r="AW662" i="35"/>
  <c r="AX662" i="35"/>
  <c r="AY662" i="35"/>
  <c r="BC662" i="35"/>
  <c r="E663" i="35"/>
  <c r="G663" i="35"/>
  <c r="AU663" i="35"/>
  <c r="AV663" i="35"/>
  <c r="AW663" i="35"/>
  <c r="AX663" i="35"/>
  <c r="AY663" i="35"/>
  <c r="BC663" i="35"/>
  <c r="E664" i="35"/>
  <c r="G664" i="35"/>
  <c r="AU664" i="35"/>
  <c r="AV664" i="35"/>
  <c r="AW664" i="35"/>
  <c r="AX664" i="35"/>
  <c r="AY664" i="35"/>
  <c r="BC664" i="35"/>
  <c r="E665" i="35"/>
  <c r="G665" i="35"/>
  <c r="AU665" i="35"/>
  <c r="AV665" i="35"/>
  <c r="AW665" i="35"/>
  <c r="AX665" i="35"/>
  <c r="AY665" i="35"/>
  <c r="BC665" i="35"/>
  <c r="E666" i="35"/>
  <c r="G666" i="35"/>
  <c r="AU666" i="35"/>
  <c r="AV666" i="35"/>
  <c r="AW666" i="35"/>
  <c r="AX666" i="35"/>
  <c r="AY666" i="35"/>
  <c r="BC666" i="35"/>
  <c r="E667" i="35"/>
  <c r="G667" i="35"/>
  <c r="AU667" i="35"/>
  <c r="AV667" i="35"/>
  <c r="AW667" i="35"/>
  <c r="AX667" i="35"/>
  <c r="AY667" i="35"/>
  <c r="BC667" i="35"/>
  <c r="E668" i="35"/>
  <c r="G668" i="35"/>
  <c r="AU668" i="35"/>
  <c r="AV668" i="35"/>
  <c r="AW668" i="35"/>
  <c r="AX668" i="35"/>
  <c r="AY668" i="35"/>
  <c r="BC668" i="35"/>
  <c r="E669" i="35"/>
  <c r="G669" i="35"/>
  <c r="AU669" i="35"/>
  <c r="AV669" i="35"/>
  <c r="AW669" i="35"/>
  <c r="AX669" i="35"/>
  <c r="AY669" i="35"/>
  <c r="BC669" i="35"/>
  <c r="E670" i="35"/>
  <c r="G670" i="35"/>
  <c r="AU670" i="35"/>
  <c r="AV670" i="35"/>
  <c r="AW670" i="35"/>
  <c r="AX670" i="35"/>
  <c r="AY670" i="35"/>
  <c r="BC670" i="35"/>
  <c r="E671" i="35"/>
  <c r="G671" i="35"/>
  <c r="AU671" i="35"/>
  <c r="AV671" i="35"/>
  <c r="AW671" i="35"/>
  <c r="AX671" i="35"/>
  <c r="AY671" i="35"/>
  <c r="BC671" i="35"/>
  <c r="E672" i="35"/>
  <c r="G672" i="35"/>
  <c r="AU672" i="35"/>
  <c r="AV672" i="35"/>
  <c r="AW672" i="35"/>
  <c r="AX672" i="35"/>
  <c r="AY672" i="35"/>
  <c r="BC672" i="35"/>
  <c r="E673" i="35"/>
  <c r="G673" i="35"/>
  <c r="AU673" i="35"/>
  <c r="AV673" i="35"/>
  <c r="AW673" i="35"/>
  <c r="AX673" i="35"/>
  <c r="AY673" i="35"/>
  <c r="E674" i="35"/>
  <c r="G674" i="35"/>
  <c r="AU674" i="35"/>
  <c r="AV674" i="35"/>
  <c r="AW674" i="35"/>
  <c r="AX674" i="35"/>
  <c r="AY674" i="35"/>
  <c r="E675" i="35"/>
  <c r="G675" i="35"/>
  <c r="AU675" i="35"/>
  <c r="AV675" i="35"/>
  <c r="AW675" i="35"/>
  <c r="AX675" i="35"/>
  <c r="AY675" i="35"/>
  <c r="BC675" i="35"/>
  <c r="E676" i="35"/>
  <c r="G676" i="35"/>
  <c r="AU676" i="35"/>
  <c r="AV676" i="35"/>
  <c r="AW676" i="35"/>
  <c r="AX676" i="35"/>
  <c r="AY676" i="35"/>
  <c r="BC676" i="35"/>
  <c r="E677" i="35"/>
  <c r="G677" i="35"/>
  <c r="AU677" i="35"/>
  <c r="AV677" i="35"/>
  <c r="AW677" i="35"/>
  <c r="AX677" i="35"/>
  <c r="AY677" i="35"/>
  <c r="BC677" i="35"/>
  <c r="AU680" i="35"/>
  <c r="AV680" i="35"/>
  <c r="AW680" i="35"/>
  <c r="BC680" i="35"/>
  <c r="AU681" i="35"/>
  <c r="AV681" i="35"/>
  <c r="AW681" i="35"/>
  <c r="BC681" i="35"/>
  <c r="AU682" i="35"/>
  <c r="AV682" i="35"/>
  <c r="AW682" i="35"/>
  <c r="BC682" i="35"/>
  <c r="AU683" i="35"/>
  <c r="AV683" i="35"/>
  <c r="AW683" i="35"/>
  <c r="BC683" i="35"/>
  <c r="AU684" i="35"/>
  <c r="AV684" i="35"/>
  <c r="AW684" i="35"/>
  <c r="BC684" i="35"/>
  <c r="AU685" i="35"/>
  <c r="AV685" i="35"/>
  <c r="AW685" i="35"/>
  <c r="BC685" i="35"/>
  <c r="AU686" i="35"/>
  <c r="AV686" i="35"/>
  <c r="AW686" i="35"/>
  <c r="BC686" i="35"/>
  <c r="AU687" i="35"/>
  <c r="AV687" i="35"/>
  <c r="AW687" i="35"/>
  <c r="BC687" i="35"/>
  <c r="AU688" i="35"/>
  <c r="AV688" i="35"/>
  <c r="AW688" i="35"/>
  <c r="BC688" i="35"/>
  <c r="AU689" i="35"/>
  <c r="AV689" i="35"/>
  <c r="AW689" i="35"/>
  <c r="BC689" i="35"/>
  <c r="AU690" i="35"/>
  <c r="AV690" i="35"/>
  <c r="AW690" i="35"/>
  <c r="BC690" i="35"/>
  <c r="AU691" i="35"/>
  <c r="AV691" i="35"/>
  <c r="AW691" i="35"/>
  <c r="AU692" i="35"/>
  <c r="AV692" i="35"/>
  <c r="AW692" i="35"/>
  <c r="AU693" i="35"/>
  <c r="AV693" i="35"/>
  <c r="AW693" i="35"/>
  <c r="AU694" i="35"/>
  <c r="AV694" i="35"/>
  <c r="AW694" i="35"/>
  <c r="AU695" i="35"/>
  <c r="AV695" i="35"/>
  <c r="AW695" i="35"/>
  <c r="H698" i="35"/>
  <c r="H732" i="35" s="1"/>
  <c r="AU698" i="35"/>
  <c r="AV698" i="35"/>
  <c r="AW698" i="35"/>
  <c r="AX698" i="35"/>
  <c r="AY698" i="35"/>
  <c r="BC698" i="35"/>
  <c r="H699" i="35"/>
  <c r="H733" i="35" s="1"/>
  <c r="AU699" i="35"/>
  <c r="AV699" i="35"/>
  <c r="AW699" i="35"/>
  <c r="AX699" i="35"/>
  <c r="AY699" i="35"/>
  <c r="H700" i="35"/>
  <c r="H734" i="35" s="1"/>
  <c r="AV700" i="35"/>
  <c r="AW700" i="35"/>
  <c r="AX700" i="35"/>
  <c r="AY700" i="35"/>
  <c r="H701" i="35"/>
  <c r="H735" i="35" s="1"/>
  <c r="AV701" i="35"/>
  <c r="AW701" i="35"/>
  <c r="AX701" i="35"/>
  <c r="AY701" i="35"/>
  <c r="H702" i="35"/>
  <c r="H736" i="35" s="1"/>
  <c r="AV702" i="35"/>
  <c r="AW702" i="35"/>
  <c r="AX702" i="35"/>
  <c r="AY702" i="35"/>
  <c r="H703" i="35"/>
  <c r="H737" i="35" s="1"/>
  <c r="AV703" i="35"/>
  <c r="AW703" i="35"/>
  <c r="AX703" i="35"/>
  <c r="AY703" i="35"/>
  <c r="H704" i="35"/>
  <c r="H738" i="35" s="1"/>
  <c r="AV704" i="35"/>
  <c r="AW704" i="35"/>
  <c r="AX704" i="35"/>
  <c r="AY704" i="35"/>
  <c r="H705" i="35"/>
  <c r="H739" i="35" s="1"/>
  <c r="AV705" i="35"/>
  <c r="AW705" i="35"/>
  <c r="AX705" i="35"/>
  <c r="AY705" i="35"/>
  <c r="H706" i="35"/>
  <c r="H740" i="35" s="1"/>
  <c r="AV706" i="35"/>
  <c r="AW706" i="35"/>
  <c r="AX706" i="35"/>
  <c r="AY706" i="35"/>
  <c r="H707" i="35"/>
  <c r="H741" i="35" s="1"/>
  <c r="AV707" i="35"/>
  <c r="AW707" i="35"/>
  <c r="AX707" i="35"/>
  <c r="AY707" i="35"/>
  <c r="H708" i="35"/>
  <c r="H742" i="35" s="1"/>
  <c r="AV708" i="35"/>
  <c r="AW708" i="35"/>
  <c r="AX708" i="35"/>
  <c r="AY708" i="35"/>
  <c r="H709" i="35"/>
  <c r="H743" i="35" s="1"/>
  <c r="AV709" i="35"/>
  <c r="AW709" i="35"/>
  <c r="AX709" i="35"/>
  <c r="AY709" i="35"/>
  <c r="H710" i="35"/>
  <c r="H744" i="35" s="1"/>
  <c r="AV710" i="35"/>
  <c r="AW710" i="35"/>
  <c r="AX710" i="35"/>
  <c r="AY710" i="35"/>
  <c r="H711" i="35"/>
  <c r="H745" i="35" s="1"/>
  <c r="AV711" i="35"/>
  <c r="AW711" i="35"/>
  <c r="AX711" i="35"/>
  <c r="AY711" i="35"/>
  <c r="H712" i="35"/>
  <c r="H746" i="35" s="1"/>
  <c r="AV712" i="35"/>
  <c r="AW712" i="35"/>
  <c r="AX712" i="35"/>
  <c r="AY712" i="35"/>
  <c r="H713" i="35"/>
  <c r="H747" i="35" s="1"/>
  <c r="AV713" i="35"/>
  <c r="AW713" i="35"/>
  <c r="AX713" i="35"/>
  <c r="AY713" i="35"/>
  <c r="H714" i="35"/>
  <c r="H748" i="35" s="1"/>
  <c r="AV714" i="35"/>
  <c r="AW714" i="35"/>
  <c r="AX714" i="35"/>
  <c r="H715" i="35"/>
  <c r="H749" i="35" s="1"/>
  <c r="AV715" i="35"/>
  <c r="AW715" i="35"/>
  <c r="AX715" i="35"/>
  <c r="AY715" i="35"/>
  <c r="H716" i="35"/>
  <c r="H750" i="35" s="1"/>
  <c r="AV716" i="35"/>
  <c r="AW716" i="35"/>
  <c r="AX716" i="35"/>
  <c r="AY716" i="35"/>
  <c r="H717" i="35"/>
  <c r="H751" i="35" s="1"/>
  <c r="AV717" i="35"/>
  <c r="AW717" i="35"/>
  <c r="AX717" i="35"/>
  <c r="AY717" i="35"/>
  <c r="H718" i="35"/>
  <c r="H752" i="35" s="1"/>
  <c r="AV718" i="35"/>
  <c r="AW718" i="35"/>
  <c r="AX718" i="35"/>
  <c r="AY718" i="35"/>
  <c r="H719" i="35"/>
  <c r="H753" i="35" s="1"/>
  <c r="AV719" i="35"/>
  <c r="AW719" i="35"/>
  <c r="AX719" i="35"/>
  <c r="AY719" i="35"/>
  <c r="H720" i="35"/>
  <c r="H754" i="35" s="1"/>
  <c r="AV720" i="35"/>
  <c r="AW720" i="35"/>
  <c r="AX720" i="35"/>
  <c r="AY720" i="35"/>
  <c r="H721" i="35"/>
  <c r="H755" i="35" s="1"/>
  <c r="AV721" i="35"/>
  <c r="AW721" i="35"/>
  <c r="AX721" i="35"/>
  <c r="AY721" i="35"/>
  <c r="H722" i="35"/>
  <c r="H756" i="35" s="1"/>
  <c r="AV722" i="35"/>
  <c r="AW722" i="35"/>
  <c r="AX722" i="35"/>
  <c r="AY722" i="35"/>
  <c r="H723" i="35"/>
  <c r="H757" i="35" s="1"/>
  <c r="AV723" i="35"/>
  <c r="AW723" i="35"/>
  <c r="AX723" i="35"/>
  <c r="AY723" i="35"/>
  <c r="H724" i="35"/>
  <c r="H758" i="35" s="1"/>
  <c r="AV724" i="35"/>
  <c r="AW724" i="35"/>
  <c r="AX724" i="35"/>
  <c r="AY724" i="35"/>
  <c r="H725" i="35"/>
  <c r="H759" i="35" s="1"/>
  <c r="AV725" i="35"/>
  <c r="AW725" i="35"/>
  <c r="AX725" i="35"/>
  <c r="AY725" i="35"/>
  <c r="H726" i="35"/>
  <c r="H760" i="35" s="1"/>
  <c r="AV726" i="35"/>
  <c r="AW726" i="35"/>
  <c r="AX726" i="35"/>
  <c r="AY726" i="35"/>
  <c r="H727" i="35"/>
  <c r="H761" i="35" s="1"/>
  <c r="AV727" i="35"/>
  <c r="AW727" i="35"/>
  <c r="AX727" i="35"/>
  <c r="AY727" i="35"/>
  <c r="H728" i="35"/>
  <c r="H762" i="35" s="1"/>
  <c r="AV728" i="35"/>
  <c r="AW728" i="35"/>
  <c r="AX728" i="35"/>
  <c r="AY728" i="35"/>
  <c r="H729" i="35"/>
  <c r="H763" i="35" s="1"/>
  <c r="AV729" i="35"/>
  <c r="AW729" i="35"/>
  <c r="AX729" i="35"/>
  <c r="AY729" i="35"/>
  <c r="G732" i="35"/>
  <c r="BC732" i="35"/>
  <c r="G733" i="35"/>
  <c r="BC733" i="35"/>
  <c r="G734" i="35"/>
  <c r="BC734" i="35"/>
  <c r="G735" i="35"/>
  <c r="BC735" i="35"/>
  <c r="G736" i="35"/>
  <c r="BC736" i="35"/>
  <c r="G737" i="35"/>
  <c r="BC737" i="35"/>
  <c r="G738" i="35"/>
  <c r="BC738" i="35"/>
  <c r="G739" i="35"/>
  <c r="BC739" i="35"/>
  <c r="G740" i="35"/>
  <c r="BC740" i="35"/>
  <c r="G741" i="35"/>
  <c r="BC741" i="35"/>
  <c r="G742" i="35"/>
  <c r="BC742" i="35"/>
  <c r="G743" i="35"/>
  <c r="BC743" i="35"/>
  <c r="G744" i="35"/>
  <c r="BC744" i="35"/>
  <c r="G745" i="35"/>
  <c r="BC745" i="35"/>
  <c r="G746" i="35"/>
  <c r="BC746" i="35"/>
  <c r="G747" i="35"/>
  <c r="BC747" i="35"/>
  <c r="G748" i="35"/>
  <c r="BC748" i="35"/>
  <c r="G749" i="35"/>
  <c r="BC749" i="35"/>
  <c r="G750" i="35"/>
  <c r="BC750" i="35"/>
  <c r="G751" i="35"/>
  <c r="BC751" i="35"/>
  <c r="G752" i="35"/>
  <c r="BC752" i="35"/>
  <c r="G753" i="35"/>
  <c r="G754" i="35"/>
  <c r="G755" i="35"/>
  <c r="G756" i="35"/>
  <c r="G757" i="35"/>
  <c r="G758" i="35"/>
  <c r="G759" i="35"/>
  <c r="G760" i="35"/>
  <c r="G761" i="35"/>
  <c r="G762" i="35"/>
  <c r="G763" i="35"/>
  <c r="E767" i="35"/>
  <c r="BC767" i="35"/>
  <c r="BD767" i="35"/>
  <c r="BC768" i="35"/>
  <c r="BD768" i="35"/>
  <c r="G771" i="35"/>
  <c r="BC771" i="35"/>
  <c r="BD771" i="35"/>
  <c r="G772" i="35"/>
  <c r="BC772" i="35"/>
  <c r="BD772" i="35"/>
  <c r="G774" i="35"/>
  <c r="BC774" i="35"/>
  <c r="BD774" i="35"/>
  <c r="G775" i="35"/>
  <c r="BC775" i="35"/>
  <c r="BD775" i="35"/>
  <c r="G776" i="35"/>
  <c r="BC776" i="35"/>
  <c r="BD776" i="35"/>
  <c r="G777" i="35"/>
  <c r="BC777" i="35"/>
  <c r="BD777" i="35"/>
  <c r="G780" i="35"/>
  <c r="G9" i="27" s="1"/>
  <c r="BC780" i="35"/>
  <c r="G781" i="35"/>
  <c r="G11" i="27" s="1"/>
  <c r="BC781" i="35"/>
  <c r="G8" i="35"/>
  <c r="BD658" i="35"/>
  <c r="BC658" i="35"/>
  <c r="G658" i="35"/>
  <c r="BD657" i="35"/>
  <c r="BC657" i="35"/>
  <c r="G657" i="35"/>
  <c r="BD656" i="35"/>
  <c r="BC656" i="35"/>
  <c r="G656" i="35"/>
  <c r="BD655" i="35"/>
  <c r="BC655" i="35"/>
  <c r="G655" i="35"/>
  <c r="BD654" i="35"/>
  <c r="BC654" i="35"/>
  <c r="G654" i="35"/>
  <c r="BD653" i="35"/>
  <c r="BC653" i="35"/>
  <c r="G653" i="35"/>
  <c r="BD650" i="35"/>
  <c r="BC650" i="35"/>
  <c r="G650" i="35"/>
  <c r="BD649" i="35"/>
  <c r="BC649" i="35"/>
  <c r="G649" i="35"/>
  <c r="BD648" i="35"/>
  <c r="BC648" i="35"/>
  <c r="G648" i="35"/>
  <c r="BD647" i="35"/>
  <c r="BC647" i="35"/>
  <c r="G647" i="35"/>
  <c r="BD646" i="35"/>
  <c r="BC646" i="35"/>
  <c r="G646" i="35"/>
  <c r="BD645" i="35"/>
  <c r="BC645" i="35"/>
  <c r="G645" i="35"/>
  <c r="BD641" i="35"/>
  <c r="BC641" i="35"/>
  <c r="G641" i="35"/>
  <c r="BD640" i="35"/>
  <c r="BC640" i="35"/>
  <c r="G640" i="35"/>
  <c r="BD639" i="35"/>
  <c r="BC639" i="35"/>
  <c r="G639" i="35"/>
  <c r="BD638" i="35"/>
  <c r="BC638" i="35"/>
  <c r="G638" i="35"/>
  <c r="BD637" i="35"/>
  <c r="BC637" i="35"/>
  <c r="G637" i="35"/>
  <c r="BD636" i="35"/>
  <c r="BC636" i="35"/>
  <c r="G636" i="35"/>
  <c r="BD635" i="35"/>
  <c r="BC635" i="35"/>
  <c r="G635" i="35"/>
  <c r="BD634" i="35"/>
  <c r="BC634" i="35"/>
  <c r="G634" i="35"/>
  <c r="BD633" i="35"/>
  <c r="BC633" i="35"/>
  <c r="G633" i="35"/>
  <c r="BD632" i="35"/>
  <c r="BC632" i="35"/>
  <c r="G632" i="35"/>
  <c r="BD631" i="35"/>
  <c r="BC631" i="35"/>
  <c r="G631" i="35"/>
  <c r="BD630" i="35"/>
  <c r="BC630" i="35"/>
  <c r="G630" i="35"/>
  <c r="BD628" i="35"/>
  <c r="BC628" i="35"/>
  <c r="G628" i="35"/>
  <c r="BD627" i="35"/>
  <c r="BC627" i="35"/>
  <c r="G627" i="35"/>
  <c r="BD626" i="35"/>
  <c r="BC626" i="35"/>
  <c r="G626" i="35"/>
  <c r="BD625" i="35"/>
  <c r="BC625" i="35"/>
  <c r="G625" i="35"/>
  <c r="BD624" i="35"/>
  <c r="BC624" i="35"/>
  <c r="G624" i="35"/>
  <c r="BD623" i="35"/>
  <c r="BC623" i="35"/>
  <c r="G623" i="35"/>
  <c r="BD620" i="35"/>
  <c r="BC620" i="35"/>
  <c r="BD619" i="35"/>
  <c r="BC619" i="35"/>
  <c r="AY619" i="35"/>
  <c r="AX619" i="35"/>
  <c r="AW619" i="35"/>
  <c r="AV619" i="35"/>
  <c r="AU619" i="35"/>
  <c r="AT619" i="35"/>
  <c r="AS619" i="35"/>
  <c r="E619" i="35"/>
  <c r="G615" i="35"/>
  <c r="G614" i="35"/>
  <c r="G613" i="35"/>
  <c r="G612" i="35"/>
  <c r="G611" i="35"/>
  <c r="G610" i="35"/>
  <c r="G609" i="35"/>
  <c r="G608" i="35"/>
  <c r="G607" i="35"/>
  <c r="G606" i="35"/>
  <c r="G605" i="35"/>
  <c r="G604" i="35"/>
  <c r="G603" i="35"/>
  <c r="G602" i="35"/>
  <c r="G601" i="35"/>
  <c r="G600" i="35"/>
  <c r="G599" i="35"/>
  <c r="G598" i="35"/>
  <c r="G597" i="35"/>
  <c r="G596" i="35"/>
  <c r="G595" i="35"/>
  <c r="G594" i="35"/>
  <c r="G593" i="35"/>
  <c r="G592" i="35"/>
  <c r="G591" i="35"/>
  <c r="G590" i="35"/>
  <c r="G589" i="35"/>
  <c r="G588" i="35"/>
  <c r="G587" i="35"/>
  <c r="G586" i="35"/>
  <c r="G585" i="35"/>
  <c r="G584" i="35"/>
  <c r="G583" i="35"/>
  <c r="G582" i="35"/>
  <c r="G581" i="35"/>
  <c r="G580" i="35"/>
  <c r="G579" i="35"/>
  <c r="G578" i="35"/>
  <c r="G577" i="35"/>
  <c r="G576" i="35"/>
  <c r="G575" i="35"/>
  <c r="G574" i="35"/>
  <c r="G573" i="35"/>
  <c r="G572" i="35"/>
  <c r="G571" i="35"/>
  <c r="G570" i="35"/>
  <c r="G569" i="35"/>
  <c r="G568" i="35"/>
  <c r="G567" i="35"/>
  <c r="G566" i="35"/>
  <c r="G565" i="35"/>
  <c r="G564" i="35"/>
  <c r="G563" i="35"/>
  <c r="G562" i="35"/>
  <c r="G561" i="35"/>
  <c r="G560" i="35"/>
  <c r="G559" i="35"/>
  <c r="G558" i="35"/>
  <c r="G557" i="35"/>
  <c r="G556" i="35"/>
  <c r="G555" i="35"/>
  <c r="G554" i="35"/>
  <c r="G553" i="35"/>
  <c r="G552" i="35"/>
  <c r="G551" i="35"/>
  <c r="G550" i="35"/>
  <c r="G549" i="35"/>
  <c r="G548" i="35"/>
  <c r="G547" i="35"/>
  <c r="G546" i="35"/>
  <c r="G545" i="35"/>
  <c r="G544" i="35"/>
  <c r="G543" i="35"/>
  <c r="G542" i="35"/>
  <c r="G541" i="35"/>
  <c r="G540" i="35"/>
  <c r="G539" i="35"/>
  <c r="G538" i="35"/>
  <c r="G537" i="35"/>
  <c r="G536" i="35"/>
  <c r="G535" i="35"/>
  <c r="G534" i="35"/>
  <c r="G533" i="35"/>
  <c r="G532" i="35"/>
  <c r="G531" i="35"/>
  <c r="G530" i="35"/>
  <c r="G529" i="35"/>
  <c r="G528" i="35"/>
  <c r="G527" i="35"/>
  <c r="G526" i="35"/>
  <c r="G525" i="35"/>
  <c r="G524" i="35"/>
  <c r="G523" i="35"/>
  <c r="G522" i="35"/>
  <c r="G521" i="35"/>
  <c r="G520" i="35"/>
  <c r="G519" i="35"/>
  <c r="G518" i="35"/>
  <c r="G517" i="35"/>
  <c r="G516" i="35"/>
  <c r="G515" i="35"/>
  <c r="G514" i="35"/>
  <c r="G513" i="35"/>
  <c r="G512" i="35"/>
  <c r="G511" i="35"/>
  <c r="G510" i="35"/>
  <c r="G509" i="35"/>
  <c r="G508" i="35"/>
  <c r="G507" i="35"/>
  <c r="G506" i="35"/>
  <c r="G505" i="35"/>
  <c r="G504" i="35"/>
  <c r="G503" i="35"/>
  <c r="G502" i="35"/>
  <c r="G501" i="35"/>
  <c r="G500" i="35"/>
  <c r="G499" i="35"/>
  <c r="G498" i="35"/>
  <c r="G497" i="35"/>
  <c r="G496" i="35"/>
  <c r="G495" i="35"/>
  <c r="G494" i="35"/>
  <c r="G493" i="35"/>
  <c r="G492" i="35"/>
  <c r="G491" i="35"/>
  <c r="G490" i="35"/>
  <c r="G489" i="35"/>
  <c r="G488" i="35"/>
  <c r="G487" i="35"/>
  <c r="G486" i="35"/>
  <c r="G485" i="35"/>
  <c r="G484" i="35"/>
  <c r="G483" i="35"/>
  <c r="G482" i="35"/>
  <c r="G481" i="35"/>
  <c r="G480" i="35"/>
  <c r="G479" i="35"/>
  <c r="G478" i="35"/>
  <c r="G477" i="35"/>
  <c r="G476" i="35"/>
  <c r="G475" i="35"/>
  <c r="G474" i="35"/>
  <c r="G473" i="35"/>
  <c r="G472" i="35"/>
  <c r="G471" i="35"/>
  <c r="G470" i="35"/>
  <c r="G469" i="35"/>
  <c r="G468" i="35"/>
  <c r="G467" i="35"/>
  <c r="G466" i="35"/>
  <c r="G465" i="35"/>
  <c r="G464" i="35"/>
  <c r="G463" i="35"/>
  <c r="G462" i="35"/>
  <c r="G461" i="35"/>
  <c r="G460" i="35"/>
  <c r="G459" i="35"/>
  <c r="G458" i="35"/>
  <c r="G457" i="35"/>
  <c r="G456" i="35"/>
  <c r="G455" i="35"/>
  <c r="G454" i="35"/>
  <c r="G453" i="35"/>
  <c r="G452" i="35"/>
  <c r="G451" i="35"/>
  <c r="G450" i="35"/>
  <c r="G449" i="35"/>
  <c r="G448" i="35"/>
  <c r="G447" i="35"/>
  <c r="G446" i="35"/>
  <c r="G445" i="35"/>
  <c r="G444" i="35"/>
  <c r="G443" i="35"/>
  <c r="G442" i="35"/>
  <c r="G441" i="35"/>
  <c r="G440" i="35"/>
  <c r="G439" i="35"/>
  <c r="G438" i="35"/>
  <c r="G437" i="35"/>
  <c r="G436" i="35"/>
  <c r="G435" i="35"/>
  <c r="G434" i="35"/>
  <c r="G433" i="35"/>
  <c r="G432" i="35"/>
  <c r="G431" i="35"/>
  <c r="G430" i="35"/>
  <c r="G429" i="35"/>
  <c r="G428" i="35"/>
  <c r="G427" i="35"/>
  <c r="G426" i="35"/>
  <c r="G425" i="35"/>
  <c r="G424" i="35"/>
  <c r="G423" i="35"/>
  <c r="G422" i="35"/>
  <c r="G421" i="35"/>
  <c r="G420" i="35"/>
  <c r="G419" i="35"/>
  <c r="G418" i="35"/>
  <c r="G417" i="35"/>
  <c r="G416" i="35"/>
  <c r="G415" i="35"/>
  <c r="G414" i="35"/>
  <c r="G413" i="35"/>
  <c r="G412" i="35"/>
  <c r="G411" i="35"/>
  <c r="G410" i="35"/>
  <c r="G409" i="35"/>
  <c r="G408" i="35"/>
  <c r="G407" i="35"/>
  <c r="G406" i="35"/>
  <c r="G405" i="35"/>
  <c r="G404" i="35"/>
  <c r="G403" i="35"/>
  <c r="G402" i="35"/>
  <c r="G401" i="35"/>
  <c r="G400" i="35"/>
  <c r="G399" i="35"/>
  <c r="G398" i="35"/>
  <c r="G397" i="35"/>
  <c r="G396" i="35"/>
  <c r="G395" i="35"/>
  <c r="G394" i="35"/>
  <c r="G393" i="35"/>
  <c r="G392" i="35"/>
  <c r="G391" i="35"/>
  <c r="G390" i="35"/>
  <c r="G389" i="35"/>
  <c r="G388" i="35"/>
  <c r="G387" i="35"/>
  <c r="G386" i="35"/>
  <c r="G385" i="35"/>
  <c r="G384" i="35"/>
  <c r="G383" i="35"/>
  <c r="G382" i="35"/>
  <c r="G381" i="35"/>
  <c r="G380" i="35"/>
  <c r="G379" i="35"/>
  <c r="G378" i="35"/>
  <c r="G377" i="35"/>
  <c r="G376" i="35"/>
  <c r="G375" i="35"/>
  <c r="G374" i="35"/>
  <c r="G373" i="35"/>
  <c r="G372" i="35"/>
  <c r="G371" i="35"/>
  <c r="G370" i="35"/>
  <c r="G369" i="35"/>
  <c r="G368" i="35"/>
  <c r="G367" i="35"/>
  <c r="G366" i="35"/>
  <c r="G365" i="35"/>
  <c r="G364" i="35"/>
  <c r="G363" i="35"/>
  <c r="G362" i="35"/>
  <c r="G361" i="35"/>
  <c r="G360" i="35"/>
  <c r="G359" i="35"/>
  <c r="BC358" i="35"/>
  <c r="G358" i="35"/>
  <c r="AY355" i="35"/>
  <c r="AX355" i="35"/>
  <c r="AW355" i="35"/>
  <c r="AV355" i="35"/>
  <c r="AU355" i="35"/>
  <c r="H355" i="35"/>
  <c r="H615" i="35" s="1"/>
  <c r="E355" i="35"/>
  <c r="E615" i="35" s="1"/>
  <c r="AY354" i="35"/>
  <c r="AX354" i="35"/>
  <c r="AW354" i="35"/>
  <c r="AV354" i="35"/>
  <c r="AU354" i="35"/>
  <c r="H354" i="35"/>
  <c r="H614" i="35" s="1"/>
  <c r="E354" i="35"/>
  <c r="E614" i="35" s="1"/>
  <c r="AY353" i="35"/>
  <c r="AX353" i="35"/>
  <c r="AW353" i="35"/>
  <c r="AV353" i="35"/>
  <c r="AU353" i="35"/>
  <c r="H353" i="35"/>
  <c r="H613" i="35" s="1"/>
  <c r="E353" i="35"/>
  <c r="E613" i="35" s="1"/>
  <c r="AY352" i="35"/>
  <c r="AX352" i="35"/>
  <c r="AW352" i="35"/>
  <c r="AV352" i="35"/>
  <c r="AU352" i="35"/>
  <c r="H352" i="35"/>
  <c r="H612" i="35" s="1"/>
  <c r="E352" i="35"/>
  <c r="E612" i="35" s="1"/>
  <c r="AY351" i="35"/>
  <c r="AX351" i="35"/>
  <c r="AW351" i="35"/>
  <c r="AV351" i="35"/>
  <c r="AU351" i="35"/>
  <c r="H351" i="35"/>
  <c r="H611" i="35" s="1"/>
  <c r="E351" i="35"/>
  <c r="E611" i="35" s="1"/>
  <c r="AY350" i="35"/>
  <c r="AX350" i="35"/>
  <c r="AW350" i="35"/>
  <c r="AV350" i="35"/>
  <c r="AU350" i="35"/>
  <c r="H350" i="35"/>
  <c r="H610" i="35" s="1"/>
  <c r="E350" i="35"/>
  <c r="E610" i="35" s="1"/>
  <c r="AY349" i="35"/>
  <c r="AX349" i="35"/>
  <c r="AW349" i="35"/>
  <c r="AV349" i="35"/>
  <c r="AU349" i="35"/>
  <c r="H349" i="35"/>
  <c r="H609" i="35" s="1"/>
  <c r="E349" i="35"/>
  <c r="E609" i="35" s="1"/>
  <c r="AY348" i="35"/>
  <c r="AX348" i="35"/>
  <c r="AW348" i="35"/>
  <c r="AV348" i="35"/>
  <c r="AU348" i="35"/>
  <c r="H348" i="35"/>
  <c r="H608" i="35" s="1"/>
  <c r="E348" i="35"/>
  <c r="E608" i="35" s="1"/>
  <c r="AY347" i="35"/>
  <c r="AX347" i="35"/>
  <c r="AW347" i="35"/>
  <c r="AV347" i="35"/>
  <c r="AU347" i="35"/>
  <c r="H347" i="35"/>
  <c r="H607" i="35" s="1"/>
  <c r="E347" i="35"/>
  <c r="E607" i="35" s="1"/>
  <c r="AY346" i="35"/>
  <c r="AX346" i="35"/>
  <c r="AW346" i="35"/>
  <c r="AV346" i="35"/>
  <c r="AU346" i="35"/>
  <c r="H346" i="35"/>
  <c r="H606" i="35" s="1"/>
  <c r="E346" i="35"/>
  <c r="E606" i="35" s="1"/>
  <c r="AY345" i="35"/>
  <c r="AX345" i="35"/>
  <c r="AW345" i="35"/>
  <c r="AV345" i="35"/>
  <c r="AU345" i="35"/>
  <c r="H345" i="35"/>
  <c r="H605" i="35" s="1"/>
  <c r="E345" i="35"/>
  <c r="E605" i="35" s="1"/>
  <c r="AY344" i="35"/>
  <c r="AX344" i="35"/>
  <c r="AW344" i="35"/>
  <c r="AV344" i="35"/>
  <c r="AU344" i="35"/>
  <c r="H344" i="35"/>
  <c r="H604" i="35" s="1"/>
  <c r="E344" i="35"/>
  <c r="E604" i="35" s="1"/>
  <c r="AY343" i="35"/>
  <c r="AX343" i="35"/>
  <c r="AW343" i="35"/>
  <c r="AV343" i="35"/>
  <c r="AU343" i="35"/>
  <c r="H343" i="35"/>
  <c r="H603" i="35" s="1"/>
  <c r="E343" i="35"/>
  <c r="E603" i="35" s="1"/>
  <c r="AY342" i="35"/>
  <c r="AX342" i="35"/>
  <c r="AW342" i="35"/>
  <c r="AV342" i="35"/>
  <c r="AU342" i="35"/>
  <c r="H342" i="35"/>
  <c r="H602" i="35" s="1"/>
  <c r="E342" i="35"/>
  <c r="E602" i="35" s="1"/>
  <c r="AY341" i="35"/>
  <c r="AX341" i="35"/>
  <c r="AW341" i="35"/>
  <c r="AV341" i="35"/>
  <c r="AU341" i="35"/>
  <c r="H341" i="35"/>
  <c r="H601" i="35" s="1"/>
  <c r="E341" i="35"/>
  <c r="E601" i="35" s="1"/>
  <c r="AY340" i="35"/>
  <c r="AX340" i="35"/>
  <c r="AW340" i="35"/>
  <c r="AV340" i="35"/>
  <c r="AU340" i="35"/>
  <c r="H340" i="35"/>
  <c r="H600" i="35" s="1"/>
  <c r="E340" i="35"/>
  <c r="E600" i="35" s="1"/>
  <c r="AY339" i="35"/>
  <c r="AX339" i="35"/>
  <c r="AW339" i="35"/>
  <c r="AV339" i="35"/>
  <c r="AU339" i="35"/>
  <c r="H339" i="35"/>
  <c r="H599" i="35" s="1"/>
  <c r="E339" i="35"/>
  <c r="E599" i="35" s="1"/>
  <c r="AY338" i="35"/>
  <c r="AX338" i="35"/>
  <c r="AW338" i="35"/>
  <c r="AV338" i="35"/>
  <c r="AU338" i="35"/>
  <c r="H338" i="35"/>
  <c r="H598" i="35" s="1"/>
  <c r="E338" i="35"/>
  <c r="E598" i="35" s="1"/>
  <c r="AY337" i="35"/>
  <c r="AX337" i="35"/>
  <c r="AW337" i="35"/>
  <c r="AV337" i="35"/>
  <c r="AU337" i="35"/>
  <c r="H337" i="35"/>
  <c r="H597" i="35" s="1"/>
  <c r="E337" i="35"/>
  <c r="E597" i="35" s="1"/>
  <c r="AY336" i="35"/>
  <c r="AX336" i="35"/>
  <c r="AW336" i="35"/>
  <c r="AV336" i="35"/>
  <c r="AU336" i="35"/>
  <c r="H336" i="35"/>
  <c r="H596" i="35" s="1"/>
  <c r="E336" i="35"/>
  <c r="E596" i="35" s="1"/>
  <c r="AY335" i="35"/>
  <c r="AX335" i="35"/>
  <c r="AW335" i="35"/>
  <c r="AV335" i="35"/>
  <c r="AU335" i="35"/>
  <c r="H335" i="35"/>
  <c r="H595" i="35" s="1"/>
  <c r="E335" i="35"/>
  <c r="E595" i="35" s="1"/>
  <c r="AY334" i="35"/>
  <c r="AX334" i="35"/>
  <c r="AW334" i="35"/>
  <c r="AV334" i="35"/>
  <c r="AU334" i="35"/>
  <c r="H334" i="35"/>
  <c r="H594" i="35" s="1"/>
  <c r="E334" i="35"/>
  <c r="E594" i="35" s="1"/>
  <c r="AY333" i="35"/>
  <c r="AX333" i="35"/>
  <c r="AW333" i="35"/>
  <c r="AV333" i="35"/>
  <c r="AU333" i="35"/>
  <c r="H333" i="35"/>
  <c r="H593" i="35" s="1"/>
  <c r="E333" i="35"/>
  <c r="E593" i="35" s="1"/>
  <c r="AY332" i="35"/>
  <c r="AX332" i="35"/>
  <c r="AW332" i="35"/>
  <c r="AV332" i="35"/>
  <c r="AU332" i="35"/>
  <c r="H332" i="35"/>
  <c r="H592" i="35" s="1"/>
  <c r="E332" i="35"/>
  <c r="E592" i="35" s="1"/>
  <c r="AY331" i="35"/>
  <c r="AX331" i="35"/>
  <c r="AW331" i="35"/>
  <c r="AV331" i="35"/>
  <c r="AU331" i="35"/>
  <c r="H331" i="35"/>
  <c r="H591" i="35" s="1"/>
  <c r="E331" i="35"/>
  <c r="E591" i="35" s="1"/>
  <c r="AY330" i="35"/>
  <c r="AX330" i="35"/>
  <c r="AW330" i="35"/>
  <c r="AV330" i="35"/>
  <c r="AU330" i="35"/>
  <c r="H330" i="35"/>
  <c r="H590" i="35" s="1"/>
  <c r="E330" i="35"/>
  <c r="E590" i="35" s="1"/>
  <c r="AY329" i="35"/>
  <c r="AX329" i="35"/>
  <c r="AW329" i="35"/>
  <c r="AV329" i="35"/>
  <c r="AU329" i="35"/>
  <c r="H329" i="35"/>
  <c r="H589" i="35" s="1"/>
  <c r="E329" i="35"/>
  <c r="E589" i="35" s="1"/>
  <c r="AY328" i="35"/>
  <c r="AX328" i="35"/>
  <c r="AW328" i="35"/>
  <c r="AV328" i="35"/>
  <c r="AU328" i="35"/>
  <c r="H328" i="35"/>
  <c r="H588" i="35" s="1"/>
  <c r="E328" i="35"/>
  <c r="E588" i="35" s="1"/>
  <c r="AY327" i="35"/>
  <c r="AX327" i="35"/>
  <c r="AW327" i="35"/>
  <c r="AV327" i="35"/>
  <c r="AU327" i="35"/>
  <c r="H327" i="35"/>
  <c r="H587" i="35" s="1"/>
  <c r="E327" i="35"/>
  <c r="E587" i="35" s="1"/>
  <c r="AY326" i="35"/>
  <c r="AX326" i="35"/>
  <c r="AW326" i="35"/>
  <c r="AV326" i="35"/>
  <c r="AU326" i="35"/>
  <c r="H326" i="35"/>
  <c r="H586" i="35" s="1"/>
  <c r="E326" i="35"/>
  <c r="E586" i="35" s="1"/>
  <c r="AY325" i="35"/>
  <c r="AX325" i="35"/>
  <c r="AW325" i="35"/>
  <c r="AV325" i="35"/>
  <c r="AU325" i="35"/>
  <c r="H325" i="35"/>
  <c r="H585" i="35" s="1"/>
  <c r="E325" i="35"/>
  <c r="E585" i="35" s="1"/>
  <c r="AY324" i="35"/>
  <c r="AX324" i="35"/>
  <c r="AW324" i="35"/>
  <c r="AV324" i="35"/>
  <c r="AU324" i="35"/>
  <c r="H324" i="35"/>
  <c r="H584" i="35" s="1"/>
  <c r="E324" i="35"/>
  <c r="E584" i="35" s="1"/>
  <c r="AY323" i="35"/>
  <c r="AX323" i="35"/>
  <c r="AW323" i="35"/>
  <c r="AV323" i="35"/>
  <c r="AU323" i="35"/>
  <c r="H323" i="35"/>
  <c r="H583" i="35" s="1"/>
  <c r="E323" i="35"/>
  <c r="E583" i="35" s="1"/>
  <c r="AY322" i="35"/>
  <c r="AX322" i="35"/>
  <c r="AW322" i="35"/>
  <c r="AV322" i="35"/>
  <c r="AU322" i="35"/>
  <c r="H322" i="35"/>
  <c r="H582" i="35" s="1"/>
  <c r="E322" i="35"/>
  <c r="E582" i="35" s="1"/>
  <c r="AY321" i="35"/>
  <c r="AX321" i="35"/>
  <c r="AW321" i="35"/>
  <c r="AV321" i="35"/>
  <c r="AU321" i="35"/>
  <c r="H321" i="35"/>
  <c r="H581" i="35" s="1"/>
  <c r="E321" i="35"/>
  <c r="E581" i="35" s="1"/>
  <c r="AY320" i="35"/>
  <c r="AX320" i="35"/>
  <c r="AW320" i="35"/>
  <c r="AV320" i="35"/>
  <c r="AU320" i="35"/>
  <c r="H320" i="35"/>
  <c r="H580" i="35" s="1"/>
  <c r="E320" i="35"/>
  <c r="E580" i="35" s="1"/>
  <c r="AY319" i="35"/>
  <c r="AX319" i="35"/>
  <c r="AW319" i="35"/>
  <c r="AV319" i="35"/>
  <c r="AU319" i="35"/>
  <c r="H319" i="35"/>
  <c r="H579" i="35" s="1"/>
  <c r="E319" i="35"/>
  <c r="E579" i="35" s="1"/>
  <c r="AY318" i="35"/>
  <c r="AX318" i="35"/>
  <c r="AW318" i="35"/>
  <c r="AV318" i="35"/>
  <c r="AU318" i="35"/>
  <c r="H318" i="35"/>
  <c r="H578" i="35" s="1"/>
  <c r="E318" i="35"/>
  <c r="E578" i="35" s="1"/>
  <c r="AY317" i="35"/>
  <c r="AX317" i="35"/>
  <c r="AW317" i="35"/>
  <c r="AV317" i="35"/>
  <c r="AU317" i="35"/>
  <c r="H317" i="35"/>
  <c r="H577" i="35" s="1"/>
  <c r="E317" i="35"/>
  <c r="E577" i="35" s="1"/>
  <c r="AY316" i="35"/>
  <c r="AX316" i="35"/>
  <c r="AW316" i="35"/>
  <c r="AV316" i="35"/>
  <c r="AU316" i="35"/>
  <c r="H316" i="35"/>
  <c r="H576" i="35" s="1"/>
  <c r="E316" i="35"/>
  <c r="E576" i="35" s="1"/>
  <c r="AY315" i="35"/>
  <c r="AX315" i="35"/>
  <c r="AW315" i="35"/>
  <c r="AV315" i="35"/>
  <c r="AU315" i="35"/>
  <c r="H315" i="35"/>
  <c r="H575" i="35" s="1"/>
  <c r="E315" i="35"/>
  <c r="E575" i="35" s="1"/>
  <c r="AY314" i="35"/>
  <c r="AX314" i="35"/>
  <c r="AW314" i="35"/>
  <c r="AV314" i="35"/>
  <c r="AU314" i="35"/>
  <c r="H314" i="35"/>
  <c r="H574" i="35" s="1"/>
  <c r="E314" i="35"/>
  <c r="E574" i="35" s="1"/>
  <c r="AY313" i="35"/>
  <c r="AX313" i="35"/>
  <c r="AW313" i="35"/>
  <c r="AV313" i="35"/>
  <c r="AU313" i="35"/>
  <c r="H313" i="35"/>
  <c r="H573" i="35" s="1"/>
  <c r="E313" i="35"/>
  <c r="E573" i="35" s="1"/>
  <c r="AY312" i="35"/>
  <c r="AX312" i="35"/>
  <c r="AW312" i="35"/>
  <c r="AV312" i="35"/>
  <c r="AU312" i="35"/>
  <c r="H312" i="35"/>
  <c r="H572" i="35" s="1"/>
  <c r="E312" i="35"/>
  <c r="E572" i="35" s="1"/>
  <c r="AY311" i="35"/>
  <c r="AX311" i="35"/>
  <c r="AW311" i="35"/>
  <c r="AV311" i="35"/>
  <c r="AU311" i="35"/>
  <c r="H311" i="35"/>
  <c r="H571" i="35" s="1"/>
  <c r="E311" i="35"/>
  <c r="E571" i="35" s="1"/>
  <c r="AY310" i="35"/>
  <c r="AX310" i="35"/>
  <c r="AW310" i="35"/>
  <c r="AV310" i="35"/>
  <c r="AU310" i="35"/>
  <c r="H310" i="35"/>
  <c r="H570" i="35" s="1"/>
  <c r="E310" i="35"/>
  <c r="E570" i="35" s="1"/>
  <c r="AX309" i="35"/>
  <c r="AV309" i="35"/>
  <c r="AU309" i="35"/>
  <c r="H309" i="35"/>
  <c r="H569" i="35" s="1"/>
  <c r="E309" i="35"/>
  <c r="E569" i="35" s="1"/>
  <c r="AY308" i="35"/>
  <c r="AX308" i="35"/>
  <c r="AW308" i="35"/>
  <c r="AV308" i="35"/>
  <c r="AU308" i="35"/>
  <c r="H308" i="35"/>
  <c r="H568" i="35" s="1"/>
  <c r="E308" i="35"/>
  <c r="E568" i="35" s="1"/>
  <c r="AY307" i="35"/>
  <c r="AX307" i="35"/>
  <c r="AW307" i="35"/>
  <c r="AV307" i="35"/>
  <c r="AU307" i="35"/>
  <c r="H307" i="35"/>
  <c r="H567" i="35" s="1"/>
  <c r="E307" i="35"/>
  <c r="E567" i="35" s="1"/>
  <c r="AY306" i="35"/>
  <c r="AX306" i="35"/>
  <c r="AW306" i="35"/>
  <c r="AV306" i="35"/>
  <c r="AU306" i="35"/>
  <c r="H306" i="35"/>
  <c r="H566" i="35" s="1"/>
  <c r="E306" i="35"/>
  <c r="E566" i="35" s="1"/>
  <c r="AY305" i="35"/>
  <c r="AX305" i="35"/>
  <c r="AW305" i="35"/>
  <c r="AV305" i="35"/>
  <c r="AU305" i="35"/>
  <c r="H305" i="35"/>
  <c r="H565" i="35" s="1"/>
  <c r="E305" i="35"/>
  <c r="E565" i="35" s="1"/>
  <c r="AY304" i="35"/>
  <c r="AX304" i="35"/>
  <c r="AW304" i="35"/>
  <c r="AV304" i="35"/>
  <c r="AU304" i="35"/>
  <c r="H304" i="35"/>
  <c r="H564" i="35" s="1"/>
  <c r="E304" i="35"/>
  <c r="E564" i="35" s="1"/>
  <c r="AY303" i="35"/>
  <c r="AX303" i="35"/>
  <c r="AW303" i="35"/>
  <c r="AV303" i="35"/>
  <c r="H303" i="35"/>
  <c r="H563" i="35" s="1"/>
  <c r="E303" i="35"/>
  <c r="E563" i="35" s="1"/>
  <c r="AY302" i="35"/>
  <c r="AX302" i="35"/>
  <c r="AW302" i="35"/>
  <c r="AV302" i="35"/>
  <c r="AU302" i="35"/>
  <c r="H302" i="35"/>
  <c r="H562" i="35" s="1"/>
  <c r="E302" i="35"/>
  <c r="E562" i="35" s="1"/>
  <c r="AY301" i="35"/>
  <c r="AX301" i="35"/>
  <c r="AW301" i="35"/>
  <c r="AV301" i="35"/>
  <c r="AU301" i="35"/>
  <c r="H301" i="35"/>
  <c r="H561" i="35" s="1"/>
  <c r="E301" i="35"/>
  <c r="E561" i="35" s="1"/>
  <c r="AY300" i="35"/>
  <c r="AX300" i="35"/>
  <c r="AW300" i="35"/>
  <c r="AV300" i="35"/>
  <c r="AU300" i="35"/>
  <c r="H300" i="35"/>
  <c r="H560" i="35" s="1"/>
  <c r="E300" i="35"/>
  <c r="E560" i="35" s="1"/>
  <c r="AY299" i="35"/>
  <c r="AX299" i="35"/>
  <c r="AW299" i="35"/>
  <c r="AV299" i="35"/>
  <c r="AU299" i="35"/>
  <c r="H299" i="35"/>
  <c r="H559" i="35" s="1"/>
  <c r="E299" i="35"/>
  <c r="E559" i="35" s="1"/>
  <c r="AY298" i="35"/>
  <c r="AX298" i="35"/>
  <c r="AW298" i="35"/>
  <c r="AV298" i="35"/>
  <c r="AU298" i="35"/>
  <c r="H298" i="35"/>
  <c r="H558" i="35" s="1"/>
  <c r="E298" i="35"/>
  <c r="E558" i="35" s="1"/>
  <c r="AY297" i="35"/>
  <c r="AX297" i="35"/>
  <c r="AW297" i="35"/>
  <c r="AV297" i="35"/>
  <c r="AU297" i="35"/>
  <c r="H297" i="35"/>
  <c r="H557" i="35" s="1"/>
  <c r="E297" i="35"/>
  <c r="E557" i="35" s="1"/>
  <c r="AY296" i="35"/>
  <c r="AX296" i="35"/>
  <c r="AW296" i="35"/>
  <c r="AV296" i="35"/>
  <c r="AU296" i="35"/>
  <c r="H296" i="35"/>
  <c r="H556" i="35" s="1"/>
  <c r="E296" i="35"/>
  <c r="E556" i="35" s="1"/>
  <c r="AY295" i="35"/>
  <c r="AX295" i="35"/>
  <c r="AW295" i="35"/>
  <c r="AV295" i="35"/>
  <c r="AU295" i="35"/>
  <c r="H295" i="35"/>
  <c r="H555" i="35" s="1"/>
  <c r="E295" i="35"/>
  <c r="E555" i="35" s="1"/>
  <c r="AY294" i="35"/>
  <c r="AX294" i="35"/>
  <c r="AW294" i="35"/>
  <c r="AV294" i="35"/>
  <c r="AU294" i="35"/>
  <c r="H294" i="35"/>
  <c r="H554" i="35" s="1"/>
  <c r="E294" i="35"/>
  <c r="E554" i="35" s="1"/>
  <c r="AY293" i="35"/>
  <c r="AX293" i="35"/>
  <c r="AW293" i="35"/>
  <c r="AV293" i="35"/>
  <c r="AU293" i="35"/>
  <c r="H293" i="35"/>
  <c r="H553" i="35" s="1"/>
  <c r="E293" i="35"/>
  <c r="E553" i="35" s="1"/>
  <c r="AY292" i="35"/>
  <c r="AX292" i="35"/>
  <c r="AW292" i="35"/>
  <c r="AV292" i="35"/>
  <c r="AU292" i="35"/>
  <c r="H292" i="35"/>
  <c r="H552" i="35" s="1"/>
  <c r="E292" i="35"/>
  <c r="E552" i="35" s="1"/>
  <c r="AY291" i="35"/>
  <c r="AX291" i="35"/>
  <c r="AW291" i="35"/>
  <c r="AV291" i="35"/>
  <c r="AU291" i="35"/>
  <c r="H291" i="35"/>
  <c r="H551" i="35" s="1"/>
  <c r="E291" i="35"/>
  <c r="E551" i="35" s="1"/>
  <c r="AY290" i="35"/>
  <c r="AX290" i="35"/>
  <c r="AW290" i="35"/>
  <c r="AV290" i="35"/>
  <c r="AU290" i="35"/>
  <c r="H290" i="35"/>
  <c r="H550" i="35" s="1"/>
  <c r="E290" i="35"/>
  <c r="E550" i="35" s="1"/>
  <c r="AY289" i="35"/>
  <c r="AX289" i="35"/>
  <c r="AW289" i="35"/>
  <c r="AV289" i="35"/>
  <c r="AU289" i="35"/>
  <c r="H289" i="35"/>
  <c r="H549" i="35" s="1"/>
  <c r="E289" i="35"/>
  <c r="E549" i="35" s="1"/>
  <c r="AY288" i="35"/>
  <c r="AX288" i="35"/>
  <c r="AW288" i="35"/>
  <c r="AV288" i="35"/>
  <c r="AU288" i="35"/>
  <c r="H288" i="35"/>
  <c r="H548" i="35" s="1"/>
  <c r="E288" i="35"/>
  <c r="E548" i="35" s="1"/>
  <c r="AY287" i="35"/>
  <c r="AX287" i="35"/>
  <c r="AW287" i="35"/>
  <c r="AV287" i="35"/>
  <c r="AU287" i="35"/>
  <c r="H287" i="35"/>
  <c r="H547" i="35" s="1"/>
  <c r="E287" i="35"/>
  <c r="E547" i="35" s="1"/>
  <c r="AY286" i="35"/>
  <c r="AX286" i="35"/>
  <c r="AW286" i="35"/>
  <c r="AV286" i="35"/>
  <c r="AU286" i="35"/>
  <c r="H286" i="35"/>
  <c r="H546" i="35" s="1"/>
  <c r="E286" i="35"/>
  <c r="E546" i="35" s="1"/>
  <c r="AY285" i="35"/>
  <c r="AX285" i="35"/>
  <c r="AW285" i="35"/>
  <c r="AV285" i="35"/>
  <c r="AU285" i="35"/>
  <c r="H285" i="35"/>
  <c r="H545" i="35" s="1"/>
  <c r="E285" i="35"/>
  <c r="E545" i="35" s="1"/>
  <c r="AY284" i="35"/>
  <c r="AX284" i="35"/>
  <c r="AW284" i="35"/>
  <c r="AV284" i="35"/>
  <c r="AU284" i="35"/>
  <c r="H284" i="35"/>
  <c r="H544" i="35" s="1"/>
  <c r="E284" i="35"/>
  <c r="E544" i="35" s="1"/>
  <c r="AY283" i="35"/>
  <c r="AX283" i="35"/>
  <c r="AW283" i="35"/>
  <c r="AV283" i="35"/>
  <c r="AU283" i="35"/>
  <c r="H283" i="35"/>
  <c r="H543" i="35" s="1"/>
  <c r="E283" i="35"/>
  <c r="E543" i="35" s="1"/>
  <c r="AY282" i="35"/>
  <c r="AX282" i="35"/>
  <c r="AW282" i="35"/>
  <c r="AV282" i="35"/>
  <c r="AU282" i="35"/>
  <c r="H282" i="35"/>
  <c r="H542" i="35" s="1"/>
  <c r="E282" i="35"/>
  <c r="E542" i="35" s="1"/>
  <c r="AY281" i="35"/>
  <c r="AX281" i="35"/>
  <c r="AW281" i="35"/>
  <c r="AV281" i="35"/>
  <c r="AU281" i="35"/>
  <c r="H281" i="35"/>
  <c r="H541" i="35" s="1"/>
  <c r="E281" i="35"/>
  <c r="E541" i="35" s="1"/>
  <c r="AY280" i="35"/>
  <c r="AX280" i="35"/>
  <c r="AW280" i="35"/>
  <c r="AV280" i="35"/>
  <c r="AU280" i="35"/>
  <c r="H280" i="35"/>
  <c r="H540" i="35" s="1"/>
  <c r="E280" i="35"/>
  <c r="E540" i="35" s="1"/>
  <c r="AY279" i="35"/>
  <c r="AX279" i="35"/>
  <c r="AW279" i="35"/>
  <c r="AV279" i="35"/>
  <c r="AU279" i="35"/>
  <c r="H279" i="35"/>
  <c r="H539" i="35" s="1"/>
  <c r="E279" i="35"/>
  <c r="E539" i="35" s="1"/>
  <c r="AY278" i="35"/>
  <c r="AX278" i="35"/>
  <c r="AW278" i="35"/>
  <c r="AV278" i="35"/>
  <c r="AU278" i="35"/>
  <c r="H278" i="35"/>
  <c r="H538" i="35" s="1"/>
  <c r="E278" i="35"/>
  <c r="E538" i="35" s="1"/>
  <c r="AY277" i="35"/>
  <c r="AX277" i="35"/>
  <c r="AW277" i="35"/>
  <c r="AV277" i="35"/>
  <c r="AU277" i="35"/>
  <c r="H277" i="35"/>
  <c r="H537" i="35" s="1"/>
  <c r="E277" i="35"/>
  <c r="E537" i="35" s="1"/>
  <c r="AY276" i="35"/>
  <c r="AX276" i="35"/>
  <c r="AW276" i="35"/>
  <c r="AV276" i="35"/>
  <c r="AU276" i="35"/>
  <c r="H276" i="35"/>
  <c r="H536" i="35" s="1"/>
  <c r="E276" i="35"/>
  <c r="E536" i="35" s="1"/>
  <c r="AY275" i="35"/>
  <c r="AX275" i="35"/>
  <c r="AW275" i="35"/>
  <c r="AV275" i="35"/>
  <c r="AU275" i="35"/>
  <c r="H275" i="35"/>
  <c r="H535" i="35" s="1"/>
  <c r="E275" i="35"/>
  <c r="E535" i="35" s="1"/>
  <c r="AY274" i="35"/>
  <c r="AX274" i="35"/>
  <c r="AW274" i="35"/>
  <c r="AV274" i="35"/>
  <c r="AU274" i="35"/>
  <c r="H274" i="35"/>
  <c r="H534" i="35" s="1"/>
  <c r="E274" i="35"/>
  <c r="E534" i="35" s="1"/>
  <c r="AY273" i="35"/>
  <c r="AX273" i="35"/>
  <c r="AW273" i="35"/>
  <c r="AV273" i="35"/>
  <c r="AU273" i="35"/>
  <c r="H273" i="35"/>
  <c r="H533" i="35" s="1"/>
  <c r="E273" i="35"/>
  <c r="E533" i="35" s="1"/>
  <c r="AY272" i="35"/>
  <c r="AX272" i="35"/>
  <c r="AW272" i="35"/>
  <c r="AV272" i="35"/>
  <c r="AU272" i="35"/>
  <c r="H272" i="35"/>
  <c r="H532" i="35" s="1"/>
  <c r="E272" i="35"/>
  <c r="E532" i="35" s="1"/>
  <c r="AY271" i="35"/>
  <c r="AX271" i="35"/>
  <c r="AW271" i="35"/>
  <c r="AV271" i="35"/>
  <c r="AU271" i="35"/>
  <c r="H271" i="35"/>
  <c r="H531" i="35" s="1"/>
  <c r="E271" i="35"/>
  <c r="E531" i="35" s="1"/>
  <c r="AY270" i="35"/>
  <c r="AX270" i="35"/>
  <c r="AW270" i="35"/>
  <c r="AV270" i="35"/>
  <c r="AU270" i="35"/>
  <c r="H270" i="35"/>
  <c r="H530" i="35" s="1"/>
  <c r="E270" i="35"/>
  <c r="E530" i="35" s="1"/>
  <c r="AY269" i="35"/>
  <c r="AX269" i="35"/>
  <c r="AW269" i="35"/>
  <c r="AV269" i="35"/>
  <c r="AU269" i="35"/>
  <c r="H269" i="35"/>
  <c r="H529" i="35" s="1"/>
  <c r="E269" i="35"/>
  <c r="E529" i="35" s="1"/>
  <c r="AY268" i="35"/>
  <c r="AX268" i="35"/>
  <c r="AW268" i="35"/>
  <c r="AV268" i="35"/>
  <c r="AU268" i="35"/>
  <c r="H268" i="35"/>
  <c r="H528" i="35" s="1"/>
  <c r="E268" i="35"/>
  <c r="E528" i="35" s="1"/>
  <c r="AY267" i="35"/>
  <c r="AX267" i="35"/>
  <c r="AW267" i="35"/>
  <c r="AV267" i="35"/>
  <c r="AU267" i="35"/>
  <c r="H267" i="35"/>
  <c r="H527" i="35" s="1"/>
  <c r="E267" i="35"/>
  <c r="E527" i="35" s="1"/>
  <c r="AY266" i="35"/>
  <c r="AX266" i="35"/>
  <c r="AW266" i="35"/>
  <c r="AV266" i="35"/>
  <c r="AU266" i="35"/>
  <c r="H266" i="35"/>
  <c r="H526" i="35" s="1"/>
  <c r="E266" i="35"/>
  <c r="E526" i="35" s="1"/>
  <c r="AY265" i="35"/>
  <c r="AX265" i="35"/>
  <c r="AW265" i="35"/>
  <c r="AV265" i="35"/>
  <c r="AU265" i="35"/>
  <c r="H265" i="35"/>
  <c r="H525" i="35" s="1"/>
  <c r="E265" i="35"/>
  <c r="E525" i="35" s="1"/>
  <c r="AY264" i="35"/>
  <c r="AX264" i="35"/>
  <c r="AW264" i="35"/>
  <c r="AV264" i="35"/>
  <c r="AU264" i="35"/>
  <c r="H264" i="35"/>
  <c r="H524" i="35" s="1"/>
  <c r="E264" i="35"/>
  <c r="E524" i="35" s="1"/>
  <c r="AY263" i="35"/>
  <c r="AX263" i="35"/>
  <c r="AW263" i="35"/>
  <c r="AV263" i="35"/>
  <c r="AU263" i="35"/>
  <c r="H263" i="35"/>
  <c r="H523" i="35" s="1"/>
  <c r="E263" i="35"/>
  <c r="E523" i="35" s="1"/>
  <c r="AY262" i="35"/>
  <c r="AX262" i="35"/>
  <c r="AW262" i="35"/>
  <c r="AV262" i="35"/>
  <c r="AU262" i="35"/>
  <c r="H262" i="35"/>
  <c r="H522" i="35" s="1"/>
  <c r="E262" i="35"/>
  <c r="E522" i="35" s="1"/>
  <c r="AY261" i="35"/>
  <c r="AX261" i="35"/>
  <c r="AW261" i="35"/>
  <c r="AV261" i="35"/>
  <c r="AU261" i="35"/>
  <c r="H261" i="35"/>
  <c r="H521" i="35" s="1"/>
  <c r="E261" i="35"/>
  <c r="E521" i="35" s="1"/>
  <c r="AY260" i="35"/>
  <c r="AX260" i="35"/>
  <c r="AW260" i="35"/>
  <c r="AV260" i="35"/>
  <c r="AU260" i="35"/>
  <c r="H260" i="35"/>
  <c r="H520" i="35" s="1"/>
  <c r="E260" i="35"/>
  <c r="E520" i="35" s="1"/>
  <c r="AY259" i="35"/>
  <c r="AX259" i="35"/>
  <c r="AW259" i="35"/>
  <c r="AV259" i="35"/>
  <c r="AU259" i="35"/>
  <c r="H259" i="35"/>
  <c r="H519" i="35" s="1"/>
  <c r="E259" i="35"/>
  <c r="E519" i="35" s="1"/>
  <c r="AY258" i="35"/>
  <c r="AX258" i="35"/>
  <c r="AW258" i="35"/>
  <c r="AV258" i="35"/>
  <c r="AU258" i="35"/>
  <c r="H258" i="35"/>
  <c r="H518" i="35" s="1"/>
  <c r="E258" i="35"/>
  <c r="E518" i="35" s="1"/>
  <c r="AY257" i="35"/>
  <c r="AX257" i="35"/>
  <c r="AW257" i="35"/>
  <c r="AV257" i="35"/>
  <c r="AU257" i="35"/>
  <c r="H257" i="35"/>
  <c r="H517" i="35" s="1"/>
  <c r="E257" i="35"/>
  <c r="E517" i="35" s="1"/>
  <c r="AY256" i="35"/>
  <c r="AX256" i="35"/>
  <c r="AW256" i="35"/>
  <c r="AV256" i="35"/>
  <c r="AU256" i="35"/>
  <c r="H256" i="35"/>
  <c r="H516" i="35" s="1"/>
  <c r="E256" i="35"/>
  <c r="E516" i="35" s="1"/>
  <c r="AY255" i="35"/>
  <c r="AX255" i="35"/>
  <c r="AW255" i="35"/>
  <c r="AV255" i="35"/>
  <c r="AU255" i="35"/>
  <c r="H255" i="35"/>
  <c r="H515" i="35" s="1"/>
  <c r="E255" i="35"/>
  <c r="E515" i="35" s="1"/>
  <c r="AY254" i="35"/>
  <c r="AX254" i="35"/>
  <c r="AW254" i="35"/>
  <c r="AV254" i="35"/>
  <c r="AU254" i="35"/>
  <c r="H254" i="35"/>
  <c r="H514" i="35" s="1"/>
  <c r="E254" i="35"/>
  <c r="E514" i="35" s="1"/>
  <c r="AY253" i="35"/>
  <c r="AX253" i="35"/>
  <c r="AW253" i="35"/>
  <c r="AV253" i="35"/>
  <c r="AU253" i="35"/>
  <c r="H253" i="35"/>
  <c r="H513" i="35" s="1"/>
  <c r="E253" i="35"/>
  <c r="E513" i="35" s="1"/>
  <c r="AY252" i="35"/>
  <c r="AX252" i="35"/>
  <c r="AW252" i="35"/>
  <c r="AV252" i="35"/>
  <c r="AU252" i="35"/>
  <c r="H252" i="35"/>
  <c r="H512" i="35" s="1"/>
  <c r="E252" i="35"/>
  <c r="E512" i="35" s="1"/>
  <c r="AY251" i="35"/>
  <c r="AX251" i="35"/>
  <c r="AW251" i="35"/>
  <c r="AV251" i="35"/>
  <c r="AU251" i="35"/>
  <c r="H251" i="35"/>
  <c r="H511" i="35" s="1"/>
  <c r="E251" i="35"/>
  <c r="E511" i="35" s="1"/>
  <c r="AY250" i="35"/>
  <c r="AX250" i="35"/>
  <c r="AW250" i="35"/>
  <c r="AV250" i="35"/>
  <c r="AU250" i="35"/>
  <c r="H250" i="35"/>
  <c r="H510" i="35" s="1"/>
  <c r="E250" i="35"/>
  <c r="E510" i="35" s="1"/>
  <c r="AY249" i="35"/>
  <c r="AX249" i="35"/>
  <c r="AW249" i="35"/>
  <c r="AV249" i="35"/>
  <c r="AU249" i="35"/>
  <c r="H249" i="35"/>
  <c r="H509" i="35" s="1"/>
  <c r="E249" i="35"/>
  <c r="E509" i="35" s="1"/>
  <c r="AY248" i="35"/>
  <c r="AX248" i="35"/>
  <c r="AW248" i="35"/>
  <c r="AV248" i="35"/>
  <c r="AU248" i="35"/>
  <c r="H248" i="35"/>
  <c r="H508" i="35" s="1"/>
  <c r="E248" i="35"/>
  <c r="E508" i="35" s="1"/>
  <c r="AY247" i="35"/>
  <c r="AX247" i="35"/>
  <c r="AW247" i="35"/>
  <c r="AV247" i="35"/>
  <c r="AU247" i="35"/>
  <c r="H247" i="35"/>
  <c r="H507" i="35" s="1"/>
  <c r="E247" i="35"/>
  <c r="E507" i="35" s="1"/>
  <c r="AY246" i="35"/>
  <c r="AX246" i="35"/>
  <c r="AW246" i="35"/>
  <c r="AV246" i="35"/>
  <c r="AU246" i="35"/>
  <c r="H246" i="35"/>
  <c r="H506" i="35" s="1"/>
  <c r="E246" i="35"/>
  <c r="E506" i="35" s="1"/>
  <c r="AY245" i="35"/>
  <c r="AX245" i="35"/>
  <c r="AW245" i="35"/>
  <c r="AV245" i="35"/>
  <c r="AU245" i="35"/>
  <c r="H245" i="35"/>
  <c r="H505" i="35" s="1"/>
  <c r="E245" i="35"/>
  <c r="E505" i="35" s="1"/>
  <c r="AY244" i="35"/>
  <c r="AX244" i="35"/>
  <c r="AW244" i="35"/>
  <c r="AV244" i="35"/>
  <c r="AU244" i="35"/>
  <c r="H244" i="35"/>
  <c r="H504" i="35" s="1"/>
  <c r="E244" i="35"/>
  <c r="E504" i="35" s="1"/>
  <c r="AY243" i="35"/>
  <c r="AX243" i="35"/>
  <c r="AW243" i="35"/>
  <c r="AV243" i="35"/>
  <c r="AU243" i="35"/>
  <c r="H243" i="35"/>
  <c r="H503" i="35" s="1"/>
  <c r="E243" i="35"/>
  <c r="E503" i="35" s="1"/>
  <c r="AY242" i="35"/>
  <c r="AX242" i="35"/>
  <c r="AW242" i="35"/>
  <c r="AV242" i="35"/>
  <c r="AU242" i="35"/>
  <c r="H242" i="35"/>
  <c r="H502" i="35" s="1"/>
  <c r="E242" i="35"/>
  <c r="E502" i="35" s="1"/>
  <c r="AY241" i="35"/>
  <c r="AX241" i="35"/>
  <c r="AW241" i="35"/>
  <c r="AV241" i="35"/>
  <c r="AU241" i="35"/>
  <c r="H241" i="35"/>
  <c r="H501" i="35" s="1"/>
  <c r="E241" i="35"/>
  <c r="E501" i="35" s="1"/>
  <c r="AY240" i="35"/>
  <c r="AX240" i="35"/>
  <c r="AW240" i="35"/>
  <c r="AV240" i="35"/>
  <c r="AU240" i="35"/>
  <c r="H240" i="35"/>
  <c r="H500" i="35" s="1"/>
  <c r="E240" i="35"/>
  <c r="E500" i="35" s="1"/>
  <c r="AY239" i="35"/>
  <c r="AX239" i="35"/>
  <c r="AW239" i="35"/>
  <c r="AV239" i="35"/>
  <c r="AU239" i="35"/>
  <c r="H239" i="35"/>
  <c r="H499" i="35" s="1"/>
  <c r="E239" i="35"/>
  <c r="E499" i="35" s="1"/>
  <c r="AY238" i="35"/>
  <c r="AX238" i="35"/>
  <c r="AW238" i="35"/>
  <c r="AV238" i="35"/>
  <c r="AU238" i="35"/>
  <c r="H238" i="35"/>
  <c r="H498" i="35" s="1"/>
  <c r="E238" i="35"/>
  <c r="E498" i="35" s="1"/>
  <c r="AY237" i="35"/>
  <c r="AX237" i="35"/>
  <c r="AW237" i="35"/>
  <c r="AV237" i="35"/>
  <c r="AU237" i="35"/>
  <c r="H237" i="35"/>
  <c r="H497" i="35" s="1"/>
  <c r="E237" i="35"/>
  <c r="E497" i="35" s="1"/>
  <c r="AY236" i="35"/>
  <c r="AX236" i="35"/>
  <c r="AW236" i="35"/>
  <c r="AV236" i="35"/>
  <c r="AU236" i="35"/>
  <c r="H236" i="35"/>
  <c r="H496" i="35" s="1"/>
  <c r="E236" i="35"/>
  <c r="E496" i="35" s="1"/>
  <c r="AY235" i="35"/>
  <c r="AX235" i="35"/>
  <c r="AW235" i="35"/>
  <c r="AV235" i="35"/>
  <c r="AU235" i="35"/>
  <c r="H235" i="35"/>
  <c r="H495" i="35" s="1"/>
  <c r="E235" i="35"/>
  <c r="E495" i="35" s="1"/>
  <c r="AY234" i="35"/>
  <c r="AX234" i="35"/>
  <c r="AW234" i="35"/>
  <c r="AV234" i="35"/>
  <c r="AU234" i="35"/>
  <c r="H234" i="35"/>
  <c r="H494" i="35" s="1"/>
  <c r="E234" i="35"/>
  <c r="E494" i="35" s="1"/>
  <c r="AY233" i="35"/>
  <c r="AX233" i="35"/>
  <c r="AW233" i="35"/>
  <c r="AV233" i="35"/>
  <c r="AU233" i="35"/>
  <c r="H233" i="35"/>
  <c r="H493" i="35" s="1"/>
  <c r="E233" i="35"/>
  <c r="E493" i="35" s="1"/>
  <c r="AY232" i="35"/>
  <c r="AX232" i="35"/>
  <c r="AW232" i="35"/>
  <c r="AV232" i="35"/>
  <c r="AU232" i="35"/>
  <c r="H232" i="35"/>
  <c r="H492" i="35" s="1"/>
  <c r="E232" i="35"/>
  <c r="E492" i="35" s="1"/>
  <c r="AY231" i="35"/>
  <c r="AX231" i="35"/>
  <c r="AW231" i="35"/>
  <c r="AV231" i="35"/>
  <c r="AU231" i="35"/>
  <c r="H231" i="35"/>
  <c r="H491" i="35" s="1"/>
  <c r="E231" i="35"/>
  <c r="E491" i="35" s="1"/>
  <c r="AY230" i="35"/>
  <c r="AX230" i="35"/>
  <c r="AW230" i="35"/>
  <c r="AV230" i="35"/>
  <c r="AU230" i="35"/>
  <c r="H230" i="35"/>
  <c r="H490" i="35" s="1"/>
  <c r="E230" i="35"/>
  <c r="E490" i="35" s="1"/>
  <c r="AY229" i="35"/>
  <c r="AX229" i="35"/>
  <c r="AW229" i="35"/>
  <c r="AV229" i="35"/>
  <c r="AU229" i="35"/>
  <c r="H229" i="35"/>
  <c r="H489" i="35" s="1"/>
  <c r="E229" i="35"/>
  <c r="E489" i="35" s="1"/>
  <c r="AY228" i="35"/>
  <c r="AX228" i="35"/>
  <c r="AW228" i="35"/>
  <c r="AV228" i="35"/>
  <c r="AU228" i="35"/>
  <c r="H228" i="35"/>
  <c r="H488" i="35" s="1"/>
  <c r="E228" i="35"/>
  <c r="E488" i="35" s="1"/>
  <c r="AY227" i="35"/>
  <c r="AX227" i="35"/>
  <c r="AW227" i="35"/>
  <c r="AV227" i="35"/>
  <c r="AU227" i="35"/>
  <c r="H227" i="35"/>
  <c r="H487" i="35" s="1"/>
  <c r="E227" i="35"/>
  <c r="E487" i="35" s="1"/>
  <c r="AY226" i="35"/>
  <c r="AX226" i="35"/>
  <c r="AW226" i="35"/>
  <c r="AV226" i="35"/>
  <c r="AU226" i="35"/>
  <c r="H226" i="35"/>
  <c r="H486" i="35" s="1"/>
  <c r="E226" i="35"/>
  <c r="E486" i="35" s="1"/>
  <c r="AY225" i="35"/>
  <c r="AX225" i="35"/>
  <c r="AW225" i="35"/>
  <c r="AV225" i="35"/>
  <c r="AU225" i="35"/>
  <c r="H225" i="35"/>
  <c r="H485" i="35" s="1"/>
  <c r="E225" i="35"/>
  <c r="E485" i="35" s="1"/>
  <c r="AY224" i="35"/>
  <c r="AX224" i="35"/>
  <c r="AW224" i="35"/>
  <c r="AV224" i="35"/>
  <c r="AU224" i="35"/>
  <c r="H224" i="35"/>
  <c r="H484" i="35" s="1"/>
  <c r="E224" i="35"/>
  <c r="E484" i="35" s="1"/>
  <c r="AY223" i="35"/>
  <c r="AX223" i="35"/>
  <c r="AW223" i="35"/>
  <c r="AV223" i="35"/>
  <c r="AU223" i="35"/>
  <c r="H223" i="35"/>
  <c r="H483" i="35" s="1"/>
  <c r="E223" i="35"/>
  <c r="E483" i="35" s="1"/>
  <c r="AY222" i="35"/>
  <c r="AX222" i="35"/>
  <c r="AW222" i="35"/>
  <c r="AV222" i="35"/>
  <c r="AU222" i="35"/>
  <c r="H222" i="35"/>
  <c r="H482" i="35" s="1"/>
  <c r="E222" i="35"/>
  <c r="E482" i="35" s="1"/>
  <c r="AY221" i="35"/>
  <c r="AX221" i="35"/>
  <c r="AW221" i="35"/>
  <c r="AV221" i="35"/>
  <c r="AU221" i="35"/>
  <c r="H221" i="35"/>
  <c r="H481" i="35" s="1"/>
  <c r="E221" i="35"/>
  <c r="E481" i="35" s="1"/>
  <c r="AY220" i="35"/>
  <c r="AX220" i="35"/>
  <c r="AW220" i="35"/>
  <c r="AV220" i="35"/>
  <c r="AU220" i="35"/>
  <c r="H220" i="35"/>
  <c r="H480" i="35" s="1"/>
  <c r="E220" i="35"/>
  <c r="E480" i="35" s="1"/>
  <c r="AY219" i="35"/>
  <c r="AX219" i="35"/>
  <c r="AW219" i="35"/>
  <c r="AV219" i="35"/>
  <c r="AU219" i="35"/>
  <c r="H219" i="35"/>
  <c r="H479" i="35" s="1"/>
  <c r="E219" i="35"/>
  <c r="E479" i="35" s="1"/>
  <c r="AY218" i="35"/>
  <c r="AX218" i="35"/>
  <c r="AW218" i="35"/>
  <c r="AV218" i="35"/>
  <c r="AU218" i="35"/>
  <c r="H218" i="35"/>
  <c r="H478" i="35" s="1"/>
  <c r="E218" i="35"/>
  <c r="E478" i="35" s="1"/>
  <c r="AY217" i="35"/>
  <c r="AX217" i="35"/>
  <c r="AW217" i="35"/>
  <c r="AV217" i="35"/>
  <c r="AU217" i="35"/>
  <c r="H217" i="35"/>
  <c r="H477" i="35" s="1"/>
  <c r="E217" i="35"/>
  <c r="E477" i="35" s="1"/>
  <c r="AY216" i="35"/>
  <c r="AX216" i="35"/>
  <c r="AW216" i="35"/>
  <c r="AV216" i="35"/>
  <c r="AU216" i="35"/>
  <c r="H216" i="35"/>
  <c r="H476" i="35" s="1"/>
  <c r="E216" i="35"/>
  <c r="E476" i="35" s="1"/>
  <c r="AY215" i="35"/>
  <c r="AX215" i="35"/>
  <c r="AW215" i="35"/>
  <c r="AV215" i="35"/>
  <c r="AU215" i="35"/>
  <c r="H215" i="35"/>
  <c r="H475" i="35" s="1"/>
  <c r="E215" i="35"/>
  <c r="E475" i="35" s="1"/>
  <c r="AY214" i="35"/>
  <c r="AX214" i="35"/>
  <c r="AW214" i="35"/>
  <c r="AV214" i="35"/>
  <c r="AU214" i="35"/>
  <c r="H214" i="35"/>
  <c r="H474" i="35" s="1"/>
  <c r="E214" i="35"/>
  <c r="E474" i="35" s="1"/>
  <c r="AY213" i="35"/>
  <c r="AX213" i="35"/>
  <c r="AW213" i="35"/>
  <c r="AV213" i="35"/>
  <c r="AU213" i="35"/>
  <c r="H213" i="35"/>
  <c r="H473" i="35" s="1"/>
  <c r="E213" i="35"/>
  <c r="E473" i="35" s="1"/>
  <c r="AY212" i="35"/>
  <c r="AX212" i="35"/>
  <c r="AW212" i="35"/>
  <c r="AV212" i="35"/>
  <c r="AU212" i="35"/>
  <c r="H212" i="35"/>
  <c r="H472" i="35" s="1"/>
  <c r="E212" i="35"/>
  <c r="E472" i="35" s="1"/>
  <c r="AY211" i="35"/>
  <c r="AX211" i="35"/>
  <c r="AW211" i="35"/>
  <c r="AV211" i="35"/>
  <c r="AU211" i="35"/>
  <c r="H211" i="35"/>
  <c r="H471" i="35" s="1"/>
  <c r="E211" i="35"/>
  <c r="E471" i="35" s="1"/>
  <c r="AY210" i="35"/>
  <c r="AX210" i="35"/>
  <c r="AW210" i="35"/>
  <c r="AV210" i="35"/>
  <c r="AU210" i="35"/>
  <c r="H210" i="35"/>
  <c r="H470" i="35" s="1"/>
  <c r="E210" i="35"/>
  <c r="E470" i="35" s="1"/>
  <c r="AY209" i="35"/>
  <c r="AX209" i="35"/>
  <c r="AW209" i="35"/>
  <c r="AV209" i="35"/>
  <c r="AU209" i="35"/>
  <c r="H209" i="35"/>
  <c r="H469" i="35" s="1"/>
  <c r="E209" i="35"/>
  <c r="E469" i="35" s="1"/>
  <c r="AY208" i="35"/>
  <c r="AX208" i="35"/>
  <c r="AW208" i="35"/>
  <c r="AV208" i="35"/>
  <c r="AU208" i="35"/>
  <c r="H208" i="35"/>
  <c r="H468" i="35" s="1"/>
  <c r="E208" i="35"/>
  <c r="E468" i="35" s="1"/>
  <c r="AY207" i="35"/>
  <c r="AX207" i="35"/>
  <c r="AW207" i="35"/>
  <c r="AV207" i="35"/>
  <c r="AU207" i="35"/>
  <c r="H207" i="35"/>
  <c r="H467" i="35" s="1"/>
  <c r="E207" i="35"/>
  <c r="E467" i="35" s="1"/>
  <c r="AY206" i="35"/>
  <c r="AX206" i="35"/>
  <c r="AW206" i="35"/>
  <c r="AV206" i="35"/>
  <c r="AU206" i="35"/>
  <c r="H206" i="35"/>
  <c r="H466" i="35" s="1"/>
  <c r="E206" i="35"/>
  <c r="E466" i="35" s="1"/>
  <c r="AY205" i="35"/>
  <c r="AX205" i="35"/>
  <c r="AW205" i="35"/>
  <c r="AV205" i="35"/>
  <c r="AU205" i="35"/>
  <c r="H205" i="35"/>
  <c r="H465" i="35" s="1"/>
  <c r="E205" i="35"/>
  <c r="E465" i="35" s="1"/>
  <c r="AY204" i="35"/>
  <c r="AX204" i="35"/>
  <c r="AW204" i="35"/>
  <c r="AV204" i="35"/>
  <c r="AU204" i="35"/>
  <c r="H204" i="35"/>
  <c r="H464" i="35" s="1"/>
  <c r="E204" i="35"/>
  <c r="E464" i="35" s="1"/>
  <c r="AY203" i="35"/>
  <c r="AX203" i="35"/>
  <c r="AW203" i="35"/>
  <c r="AV203" i="35"/>
  <c r="AU203" i="35"/>
  <c r="H203" i="35"/>
  <c r="H463" i="35" s="1"/>
  <c r="E203" i="35"/>
  <c r="E463" i="35" s="1"/>
  <c r="AY202" i="35"/>
  <c r="AX202" i="35"/>
  <c r="AW202" i="35"/>
  <c r="AV202" i="35"/>
  <c r="AU202" i="35"/>
  <c r="H202" i="35"/>
  <c r="H462" i="35" s="1"/>
  <c r="E202" i="35"/>
  <c r="E462" i="35" s="1"/>
  <c r="AY201" i="35"/>
  <c r="AX201" i="35"/>
  <c r="AW201" i="35"/>
  <c r="AV201" i="35"/>
  <c r="AU201" i="35"/>
  <c r="H201" i="35"/>
  <c r="H461" i="35" s="1"/>
  <c r="E201" i="35"/>
  <c r="E461" i="35" s="1"/>
  <c r="AY200" i="35"/>
  <c r="AX200" i="35"/>
  <c r="AW200" i="35"/>
  <c r="AV200" i="35"/>
  <c r="AU200" i="35"/>
  <c r="H200" i="35"/>
  <c r="H460" i="35" s="1"/>
  <c r="E200" i="35"/>
  <c r="E460" i="35" s="1"/>
  <c r="AY199" i="35"/>
  <c r="AX199" i="35"/>
  <c r="AW199" i="35"/>
  <c r="AV199" i="35"/>
  <c r="AU199" i="35"/>
  <c r="H199" i="35"/>
  <c r="H459" i="35" s="1"/>
  <c r="E199" i="35"/>
  <c r="E459" i="35" s="1"/>
  <c r="AY198" i="35"/>
  <c r="AX198" i="35"/>
  <c r="AW198" i="35"/>
  <c r="AV198" i="35"/>
  <c r="AU198" i="35"/>
  <c r="H198" i="35"/>
  <c r="H458" i="35" s="1"/>
  <c r="E198" i="35"/>
  <c r="E458" i="35" s="1"/>
  <c r="AY197" i="35"/>
  <c r="AX197" i="35"/>
  <c r="AW197" i="35"/>
  <c r="AV197" i="35"/>
  <c r="AU197" i="35"/>
  <c r="H197" i="35"/>
  <c r="H457" i="35" s="1"/>
  <c r="E197" i="35"/>
  <c r="E457" i="35" s="1"/>
  <c r="AY196" i="35"/>
  <c r="AX196" i="35"/>
  <c r="AW196" i="35"/>
  <c r="AV196" i="35"/>
  <c r="AU196" i="35"/>
  <c r="H196" i="35"/>
  <c r="H456" i="35" s="1"/>
  <c r="E196" i="35"/>
  <c r="E456" i="35" s="1"/>
  <c r="AY195" i="35"/>
  <c r="AX195" i="35"/>
  <c r="AW195" i="35"/>
  <c r="AV195" i="35"/>
  <c r="AU195" i="35"/>
  <c r="H195" i="35"/>
  <c r="H455" i="35" s="1"/>
  <c r="E195" i="35"/>
  <c r="E455" i="35" s="1"/>
  <c r="AY194" i="35"/>
  <c r="AX194" i="35"/>
  <c r="AW194" i="35"/>
  <c r="AV194" i="35"/>
  <c r="AU194" i="35"/>
  <c r="H194" i="35"/>
  <c r="H454" i="35" s="1"/>
  <c r="E194" i="35"/>
  <c r="E454" i="35" s="1"/>
  <c r="AY193" i="35"/>
  <c r="AX193" i="35"/>
  <c r="AW193" i="35"/>
  <c r="AV193" i="35"/>
  <c r="AU193" i="35"/>
  <c r="H193" i="35"/>
  <c r="H453" i="35" s="1"/>
  <c r="E193" i="35"/>
  <c r="E453" i="35" s="1"/>
  <c r="AY192" i="35"/>
  <c r="AX192" i="35"/>
  <c r="AW192" i="35"/>
  <c r="AV192" i="35"/>
  <c r="AU192" i="35"/>
  <c r="H192" i="35"/>
  <c r="H452" i="35" s="1"/>
  <c r="E192" i="35"/>
  <c r="E452" i="35" s="1"/>
  <c r="AY191" i="35"/>
  <c r="AX191" i="35"/>
  <c r="AW191" i="35"/>
  <c r="AV191" i="35"/>
  <c r="AU191" i="35"/>
  <c r="H191" i="35"/>
  <c r="H451" i="35" s="1"/>
  <c r="E191" i="35"/>
  <c r="E451" i="35" s="1"/>
  <c r="AY190" i="35"/>
  <c r="AX190" i="35"/>
  <c r="AW190" i="35"/>
  <c r="AV190" i="35"/>
  <c r="AU190" i="35"/>
  <c r="H190" i="35"/>
  <c r="H450" i="35" s="1"/>
  <c r="E190" i="35"/>
  <c r="E450" i="35" s="1"/>
  <c r="AY189" i="35"/>
  <c r="AX189" i="35"/>
  <c r="AW189" i="35"/>
  <c r="AV189" i="35"/>
  <c r="AU189" i="35"/>
  <c r="H189" i="35"/>
  <c r="H449" i="35" s="1"/>
  <c r="E189" i="35"/>
  <c r="E449" i="35" s="1"/>
  <c r="AY188" i="35"/>
  <c r="AX188" i="35"/>
  <c r="AW188" i="35"/>
  <c r="AV188" i="35"/>
  <c r="AU188" i="35"/>
  <c r="H188" i="35"/>
  <c r="H448" i="35" s="1"/>
  <c r="E188" i="35"/>
  <c r="E448" i="35" s="1"/>
  <c r="AY187" i="35"/>
  <c r="AX187" i="35"/>
  <c r="AW187" i="35"/>
  <c r="AV187" i="35"/>
  <c r="AU187" i="35"/>
  <c r="H187" i="35"/>
  <c r="H447" i="35" s="1"/>
  <c r="E187" i="35"/>
  <c r="E447" i="35" s="1"/>
  <c r="AY186" i="35"/>
  <c r="AX186" i="35"/>
  <c r="AW186" i="35"/>
  <c r="AV186" i="35"/>
  <c r="AU186" i="35"/>
  <c r="H186" i="35"/>
  <c r="H446" i="35" s="1"/>
  <c r="E186" i="35"/>
  <c r="E446" i="35" s="1"/>
  <c r="AY185" i="35"/>
  <c r="AX185" i="35"/>
  <c r="AW185" i="35"/>
  <c r="AV185" i="35"/>
  <c r="AU185" i="35"/>
  <c r="H185" i="35"/>
  <c r="H445" i="35" s="1"/>
  <c r="E185" i="35"/>
  <c r="E445" i="35" s="1"/>
  <c r="AY184" i="35"/>
  <c r="AX184" i="35"/>
  <c r="AW184" i="35"/>
  <c r="AV184" i="35"/>
  <c r="AU184" i="35"/>
  <c r="H184" i="35"/>
  <c r="H444" i="35" s="1"/>
  <c r="E184" i="35"/>
  <c r="E444" i="35" s="1"/>
  <c r="AY183" i="35"/>
  <c r="AX183" i="35"/>
  <c r="AW183" i="35"/>
  <c r="AV183" i="35"/>
  <c r="AU183" i="35"/>
  <c r="H183" i="35"/>
  <c r="H443" i="35" s="1"/>
  <c r="E183" i="35"/>
  <c r="E443" i="35" s="1"/>
  <c r="AY182" i="35"/>
  <c r="AX182" i="35"/>
  <c r="AW182" i="35"/>
  <c r="AV182" i="35"/>
  <c r="AU182" i="35"/>
  <c r="H182" i="35"/>
  <c r="H442" i="35" s="1"/>
  <c r="E182" i="35"/>
  <c r="E442" i="35" s="1"/>
  <c r="AY181" i="35"/>
  <c r="AX181" i="35"/>
  <c r="AW181" i="35"/>
  <c r="AV181" i="35"/>
  <c r="AU181" i="35"/>
  <c r="H181" i="35"/>
  <c r="H441" i="35" s="1"/>
  <c r="E181" i="35"/>
  <c r="E441" i="35" s="1"/>
  <c r="AY180" i="35"/>
  <c r="AX180" i="35"/>
  <c r="AW180" i="35"/>
  <c r="AV180" i="35"/>
  <c r="AU180" i="35"/>
  <c r="H180" i="35"/>
  <c r="H440" i="35" s="1"/>
  <c r="E180" i="35"/>
  <c r="E440" i="35" s="1"/>
  <c r="AY179" i="35"/>
  <c r="AX179" i="35"/>
  <c r="AW179" i="35"/>
  <c r="AV179" i="35"/>
  <c r="AU179" i="35"/>
  <c r="H179" i="35"/>
  <c r="H439" i="35" s="1"/>
  <c r="E179" i="35"/>
  <c r="E439" i="35" s="1"/>
  <c r="AY178" i="35"/>
  <c r="AX178" i="35"/>
  <c r="AW178" i="35"/>
  <c r="AV178" i="35"/>
  <c r="AU178" i="35"/>
  <c r="H178" i="35"/>
  <c r="H438" i="35" s="1"/>
  <c r="E178" i="35"/>
  <c r="E438" i="35" s="1"/>
  <c r="AY177" i="35"/>
  <c r="AX177" i="35"/>
  <c r="AW177" i="35"/>
  <c r="AV177" i="35"/>
  <c r="AU177" i="35"/>
  <c r="H177" i="35"/>
  <c r="H437" i="35" s="1"/>
  <c r="E177" i="35"/>
  <c r="E437" i="35" s="1"/>
  <c r="AY176" i="35"/>
  <c r="AX176" i="35"/>
  <c r="AW176" i="35"/>
  <c r="AV176" i="35"/>
  <c r="AU176" i="35"/>
  <c r="H176" i="35"/>
  <c r="H436" i="35" s="1"/>
  <c r="E176" i="35"/>
  <c r="E436" i="35" s="1"/>
  <c r="AY175" i="35"/>
  <c r="AX175" i="35"/>
  <c r="AW175" i="35"/>
  <c r="AV175" i="35"/>
  <c r="AU175" i="35"/>
  <c r="H175" i="35"/>
  <c r="H435" i="35" s="1"/>
  <c r="E175" i="35"/>
  <c r="E435" i="35" s="1"/>
  <c r="AY174" i="35"/>
  <c r="AX174" i="35"/>
  <c r="AW174" i="35"/>
  <c r="AV174" i="35"/>
  <c r="AU174" i="35"/>
  <c r="H174" i="35"/>
  <c r="H434" i="35" s="1"/>
  <c r="E174" i="35"/>
  <c r="E434" i="35" s="1"/>
  <c r="AY173" i="35"/>
  <c r="AX173" i="35"/>
  <c r="AW173" i="35"/>
  <c r="AV173" i="35"/>
  <c r="AU173" i="35"/>
  <c r="H173" i="35"/>
  <c r="H433" i="35" s="1"/>
  <c r="E173" i="35"/>
  <c r="E433" i="35" s="1"/>
  <c r="AY172" i="35"/>
  <c r="AX172" i="35"/>
  <c r="AW172" i="35"/>
  <c r="AV172" i="35"/>
  <c r="AU172" i="35"/>
  <c r="H172" i="35"/>
  <c r="H432" i="35" s="1"/>
  <c r="E172" i="35"/>
  <c r="E432" i="35" s="1"/>
  <c r="AY171" i="35"/>
  <c r="AX171" i="35"/>
  <c r="AW171" i="35"/>
  <c r="AV171" i="35"/>
  <c r="AU171" i="35"/>
  <c r="H171" i="35"/>
  <c r="H431" i="35" s="1"/>
  <c r="E171" i="35"/>
  <c r="E431" i="35" s="1"/>
  <c r="AY170" i="35"/>
  <c r="AX170" i="35"/>
  <c r="AV170" i="35"/>
  <c r="AU170" i="35"/>
  <c r="H170" i="35"/>
  <c r="H430" i="35" s="1"/>
  <c r="E170" i="35"/>
  <c r="E430" i="35" s="1"/>
  <c r="AY169" i="35"/>
  <c r="AX169" i="35"/>
  <c r="AW169" i="35"/>
  <c r="AV169" i="35"/>
  <c r="AU169" i="35"/>
  <c r="H169" i="35"/>
  <c r="H429" i="35" s="1"/>
  <c r="E169" i="35"/>
  <c r="E429" i="35" s="1"/>
  <c r="AY168" i="35"/>
  <c r="AX168" i="35"/>
  <c r="AW168" i="35"/>
  <c r="AV168" i="35"/>
  <c r="AU168" i="35"/>
  <c r="H168" i="35"/>
  <c r="H428" i="35" s="1"/>
  <c r="E168" i="35"/>
  <c r="E428" i="35" s="1"/>
  <c r="AY167" i="35"/>
  <c r="AX167" i="35"/>
  <c r="AW167" i="35"/>
  <c r="AV167" i="35"/>
  <c r="AU167" i="35"/>
  <c r="H167" i="35"/>
  <c r="H427" i="35" s="1"/>
  <c r="E167" i="35"/>
  <c r="E427" i="35" s="1"/>
  <c r="AY166" i="35"/>
  <c r="AX166" i="35"/>
  <c r="AW166" i="35"/>
  <c r="AV166" i="35"/>
  <c r="AU166" i="35"/>
  <c r="H166" i="35"/>
  <c r="H426" i="35" s="1"/>
  <c r="E166" i="35"/>
  <c r="E426" i="35" s="1"/>
  <c r="AY165" i="35"/>
  <c r="AX165" i="35"/>
  <c r="AW165" i="35"/>
  <c r="AV165" i="35"/>
  <c r="AU165" i="35"/>
  <c r="H165" i="35"/>
  <c r="H425" i="35" s="1"/>
  <c r="E165" i="35"/>
  <c r="E425" i="35" s="1"/>
  <c r="AY164" i="35"/>
  <c r="AX164" i="35"/>
  <c r="AW164" i="35"/>
  <c r="AV164" i="35"/>
  <c r="AU164" i="35"/>
  <c r="H164" i="35"/>
  <c r="H424" i="35" s="1"/>
  <c r="E164" i="35"/>
  <c r="E424" i="35" s="1"/>
  <c r="AY163" i="35"/>
  <c r="AX163" i="35"/>
  <c r="AW163" i="35"/>
  <c r="AV163" i="35"/>
  <c r="AU163" i="35"/>
  <c r="H163" i="35"/>
  <c r="H423" i="35" s="1"/>
  <c r="E163" i="35"/>
  <c r="E423" i="35" s="1"/>
  <c r="AY162" i="35"/>
  <c r="AX162" i="35"/>
  <c r="AW162" i="35"/>
  <c r="AV162" i="35"/>
  <c r="AU162" i="35"/>
  <c r="H162" i="35"/>
  <c r="H422" i="35" s="1"/>
  <c r="E162" i="35"/>
  <c r="E422" i="35" s="1"/>
  <c r="AY161" i="35"/>
  <c r="AX161" i="35"/>
  <c r="AW161" i="35"/>
  <c r="AV161" i="35"/>
  <c r="AU161" i="35"/>
  <c r="H161" i="35"/>
  <c r="H421" i="35" s="1"/>
  <c r="E161" i="35"/>
  <c r="E421" i="35" s="1"/>
  <c r="AY160" i="35"/>
  <c r="AX160" i="35"/>
  <c r="AW160" i="35"/>
  <c r="AV160" i="35"/>
  <c r="AU160" i="35"/>
  <c r="H160" i="35"/>
  <c r="H420" i="35" s="1"/>
  <c r="E160" i="35"/>
  <c r="E420" i="35" s="1"/>
  <c r="AY159" i="35"/>
  <c r="AX159" i="35"/>
  <c r="AW159" i="35"/>
  <c r="AV159" i="35"/>
  <c r="AU159" i="35"/>
  <c r="H159" i="35"/>
  <c r="H419" i="35" s="1"/>
  <c r="E159" i="35"/>
  <c r="E419" i="35" s="1"/>
  <c r="AY158" i="35"/>
  <c r="AX158" i="35"/>
  <c r="AW158" i="35"/>
  <c r="AV158" i="35"/>
  <c r="AU158" i="35"/>
  <c r="H158" i="35"/>
  <c r="H418" i="35" s="1"/>
  <c r="E158" i="35"/>
  <c r="E418" i="35" s="1"/>
  <c r="AY157" i="35"/>
  <c r="AX157" i="35"/>
  <c r="AW157" i="35"/>
  <c r="AV157" i="35"/>
  <c r="AU157" i="35"/>
  <c r="H157" i="35"/>
  <c r="H417" i="35" s="1"/>
  <c r="E157" i="35"/>
  <c r="E417" i="35" s="1"/>
  <c r="AY156" i="35"/>
  <c r="AX156" i="35"/>
  <c r="AW156" i="35"/>
  <c r="AV156" i="35"/>
  <c r="AU156" i="35"/>
  <c r="H156" i="35"/>
  <c r="H416" i="35" s="1"/>
  <c r="E156" i="35"/>
  <c r="E416" i="35" s="1"/>
  <c r="AY155" i="35"/>
  <c r="AX155" i="35"/>
  <c r="AW155" i="35"/>
  <c r="AV155" i="35"/>
  <c r="AU155" i="35"/>
  <c r="H155" i="35"/>
  <c r="H415" i="35" s="1"/>
  <c r="E155" i="35"/>
  <c r="E415" i="35" s="1"/>
  <c r="AY154" i="35"/>
  <c r="AX154" i="35"/>
  <c r="AW154" i="35"/>
  <c r="AV154" i="35"/>
  <c r="AU154" i="35"/>
  <c r="H154" i="35"/>
  <c r="H414" i="35" s="1"/>
  <c r="E154" i="35"/>
  <c r="E414" i="35" s="1"/>
  <c r="AY153" i="35"/>
  <c r="AX153" i="35"/>
  <c r="AW153" i="35"/>
  <c r="AV153" i="35"/>
  <c r="AU153" i="35"/>
  <c r="H153" i="35"/>
  <c r="H413" i="35" s="1"/>
  <c r="E153" i="35"/>
  <c r="E413" i="35" s="1"/>
  <c r="AY152" i="35"/>
  <c r="AX152" i="35"/>
  <c r="AW152" i="35"/>
  <c r="AV152" i="35"/>
  <c r="AU152" i="35"/>
  <c r="H152" i="35"/>
  <c r="H412" i="35" s="1"/>
  <c r="E152" i="35"/>
  <c r="E412" i="35" s="1"/>
  <c r="AY151" i="35"/>
  <c r="AX151" i="35"/>
  <c r="AW151" i="35"/>
  <c r="AV151" i="35"/>
  <c r="AU151" i="35"/>
  <c r="H151" i="35"/>
  <c r="H411" i="35" s="1"/>
  <c r="E151" i="35"/>
  <c r="E411" i="35" s="1"/>
  <c r="AY150" i="35"/>
  <c r="AX150" i="35"/>
  <c r="AW150" i="35"/>
  <c r="AV150" i="35"/>
  <c r="AU150" i="35"/>
  <c r="H150" i="35"/>
  <c r="H410" i="35" s="1"/>
  <c r="E150" i="35"/>
  <c r="E410" i="35" s="1"/>
  <c r="AY149" i="35"/>
  <c r="AX149" i="35"/>
  <c r="AW149" i="35"/>
  <c r="AV149" i="35"/>
  <c r="AU149" i="35"/>
  <c r="H149" i="35"/>
  <c r="H409" i="35" s="1"/>
  <c r="E149" i="35"/>
  <c r="E409" i="35" s="1"/>
  <c r="AY148" i="35"/>
  <c r="AX148" i="35"/>
  <c r="AW148" i="35"/>
  <c r="AV148" i="35"/>
  <c r="AU148" i="35"/>
  <c r="H148" i="35"/>
  <c r="H408" i="35" s="1"/>
  <c r="E148" i="35"/>
  <c r="E408" i="35" s="1"/>
  <c r="AY147" i="35"/>
  <c r="AX147" i="35"/>
  <c r="AW147" i="35"/>
  <c r="AV147" i="35"/>
  <c r="AU147" i="35"/>
  <c r="H147" i="35"/>
  <c r="H407" i="35" s="1"/>
  <c r="E147" i="35"/>
  <c r="E407" i="35" s="1"/>
  <c r="AY146" i="35"/>
  <c r="AX146" i="35"/>
  <c r="AW146" i="35"/>
  <c r="AV146" i="35"/>
  <c r="AU146" i="35"/>
  <c r="H146" i="35"/>
  <c r="H406" i="35" s="1"/>
  <c r="E146" i="35"/>
  <c r="E406" i="35" s="1"/>
  <c r="AY145" i="35"/>
  <c r="AX145" i="35"/>
  <c r="AW145" i="35"/>
  <c r="AV145" i="35"/>
  <c r="AU145" i="35"/>
  <c r="H145" i="35"/>
  <c r="H405" i="35" s="1"/>
  <c r="E145" i="35"/>
  <c r="E405" i="35" s="1"/>
  <c r="AY144" i="35"/>
  <c r="AX144" i="35"/>
  <c r="AW144" i="35"/>
  <c r="AV144" i="35"/>
  <c r="AU144" i="35"/>
  <c r="H144" i="35"/>
  <c r="H404" i="35" s="1"/>
  <c r="E144" i="35"/>
  <c r="E404" i="35" s="1"/>
  <c r="AY143" i="35"/>
  <c r="AX143" i="35"/>
  <c r="AW143" i="35"/>
  <c r="AV143" i="35"/>
  <c r="AU143" i="35"/>
  <c r="H143" i="35"/>
  <c r="H403" i="35" s="1"/>
  <c r="E143" i="35"/>
  <c r="E403" i="35" s="1"/>
  <c r="AY142" i="35"/>
  <c r="AX142" i="35"/>
  <c r="AW142" i="35"/>
  <c r="AV142" i="35"/>
  <c r="AU142" i="35"/>
  <c r="H142" i="35"/>
  <c r="H402" i="35" s="1"/>
  <c r="E142" i="35"/>
  <c r="E402" i="35" s="1"/>
  <c r="AY141" i="35"/>
  <c r="AX141" i="35"/>
  <c r="AW141" i="35"/>
  <c r="AV141" i="35"/>
  <c r="AU141" i="35"/>
  <c r="H141" i="35"/>
  <c r="H401" i="35" s="1"/>
  <c r="E141" i="35"/>
  <c r="E401" i="35" s="1"/>
  <c r="AY140" i="35"/>
  <c r="AX140" i="35"/>
  <c r="AW140" i="35"/>
  <c r="AV140" i="35"/>
  <c r="AU140" i="35"/>
  <c r="H140" i="35"/>
  <c r="H400" i="35" s="1"/>
  <c r="E140" i="35"/>
  <c r="E400" i="35" s="1"/>
  <c r="AY139" i="35"/>
  <c r="AX139" i="35"/>
  <c r="AW139" i="35"/>
  <c r="AV139" i="35"/>
  <c r="AU139" i="35"/>
  <c r="H139" i="35"/>
  <c r="H399" i="35" s="1"/>
  <c r="E139" i="35"/>
  <c r="E399" i="35" s="1"/>
  <c r="AY138" i="35"/>
  <c r="AX138" i="35"/>
  <c r="AW138" i="35"/>
  <c r="AV138" i="35"/>
  <c r="AU138" i="35"/>
  <c r="H138" i="35"/>
  <c r="H398" i="35" s="1"/>
  <c r="E138" i="35"/>
  <c r="E398" i="35" s="1"/>
  <c r="AY137" i="35"/>
  <c r="AX137" i="35"/>
  <c r="AW137" i="35"/>
  <c r="AV137" i="35"/>
  <c r="AU137" i="35"/>
  <c r="H137" i="35"/>
  <c r="H397" i="35" s="1"/>
  <c r="E137" i="35"/>
  <c r="E397" i="35" s="1"/>
  <c r="AY136" i="35"/>
  <c r="AX136" i="35"/>
  <c r="AW136" i="35"/>
  <c r="AV136" i="35"/>
  <c r="AU136" i="35"/>
  <c r="H136" i="35"/>
  <c r="H396" i="35" s="1"/>
  <c r="E136" i="35"/>
  <c r="E396" i="35" s="1"/>
  <c r="AY135" i="35"/>
  <c r="AX135" i="35"/>
  <c r="AW135" i="35"/>
  <c r="AV135" i="35"/>
  <c r="AU135" i="35"/>
  <c r="H135" i="35"/>
  <c r="H395" i="35" s="1"/>
  <c r="E135" i="35"/>
  <c r="E395" i="35" s="1"/>
  <c r="AY134" i="35"/>
  <c r="AX134" i="35"/>
  <c r="AW134" i="35"/>
  <c r="AV134" i="35"/>
  <c r="AU134" i="35"/>
  <c r="H134" i="35"/>
  <c r="H394" i="35" s="1"/>
  <c r="E134" i="35"/>
  <c r="E394" i="35" s="1"/>
  <c r="AY133" i="35"/>
  <c r="AX133" i="35"/>
  <c r="AW133" i="35"/>
  <c r="AV133" i="35"/>
  <c r="AU133" i="35"/>
  <c r="H133" i="35"/>
  <c r="H393" i="35" s="1"/>
  <c r="E133" i="35"/>
  <c r="E393" i="35" s="1"/>
  <c r="AY132" i="35"/>
  <c r="AX132" i="35"/>
  <c r="AW132" i="35"/>
  <c r="AV132" i="35"/>
  <c r="AU132" i="35"/>
  <c r="H132" i="35"/>
  <c r="H392" i="35" s="1"/>
  <c r="E132" i="35"/>
  <c r="E392" i="35" s="1"/>
  <c r="AY131" i="35"/>
  <c r="AX131" i="35"/>
  <c r="AW131" i="35"/>
  <c r="AV131" i="35"/>
  <c r="AU131" i="35"/>
  <c r="H131" i="35"/>
  <c r="H391" i="35" s="1"/>
  <c r="E131" i="35"/>
  <c r="E391" i="35" s="1"/>
  <c r="AY130" i="35"/>
  <c r="AX130" i="35"/>
  <c r="AW130" i="35"/>
  <c r="AV130" i="35"/>
  <c r="AU130" i="35"/>
  <c r="H130" i="35"/>
  <c r="H390" i="35" s="1"/>
  <c r="E130" i="35"/>
  <c r="E390" i="35" s="1"/>
  <c r="AY129" i="35"/>
  <c r="AX129" i="35"/>
  <c r="AW129" i="35"/>
  <c r="AV129" i="35"/>
  <c r="AU129" i="35"/>
  <c r="H129" i="35"/>
  <c r="H389" i="35" s="1"/>
  <c r="E129" i="35"/>
  <c r="E389" i="35" s="1"/>
  <c r="AY128" i="35"/>
  <c r="AX128" i="35"/>
  <c r="AW128" i="35"/>
  <c r="AV128" i="35"/>
  <c r="AU128" i="35"/>
  <c r="H128" i="35"/>
  <c r="H388" i="35" s="1"/>
  <c r="E128" i="35"/>
  <c r="E388" i="35" s="1"/>
  <c r="AY127" i="35"/>
  <c r="AX127" i="35"/>
  <c r="AW127" i="35"/>
  <c r="AV127" i="35"/>
  <c r="AU127" i="35"/>
  <c r="H127" i="35"/>
  <c r="H387" i="35" s="1"/>
  <c r="E127" i="35"/>
  <c r="E387" i="35" s="1"/>
  <c r="AY126" i="35"/>
  <c r="AX126" i="35"/>
  <c r="AW126" i="35"/>
  <c r="AV126" i="35"/>
  <c r="AU126" i="35"/>
  <c r="H126" i="35"/>
  <c r="H386" i="35" s="1"/>
  <c r="E126" i="35"/>
  <c r="E386" i="35" s="1"/>
  <c r="AY125" i="35"/>
  <c r="AX125" i="35"/>
  <c r="AW125" i="35"/>
  <c r="AV125" i="35"/>
  <c r="AU125" i="35"/>
  <c r="H125" i="35"/>
  <c r="H385" i="35" s="1"/>
  <c r="E125" i="35"/>
  <c r="E385" i="35" s="1"/>
  <c r="AY124" i="35"/>
  <c r="AX124" i="35"/>
  <c r="AW124" i="35"/>
  <c r="AV124" i="35"/>
  <c r="AU124" i="35"/>
  <c r="H124" i="35"/>
  <c r="H384" i="35" s="1"/>
  <c r="E124" i="35"/>
  <c r="E384" i="35" s="1"/>
  <c r="AY123" i="35"/>
  <c r="AX123" i="35"/>
  <c r="AW123" i="35"/>
  <c r="AV123" i="35"/>
  <c r="AU123" i="35"/>
  <c r="H123" i="35"/>
  <c r="H383" i="35" s="1"/>
  <c r="E123" i="35"/>
  <c r="E383" i="35" s="1"/>
  <c r="AY122" i="35"/>
  <c r="AX122" i="35"/>
  <c r="AW122" i="35"/>
  <c r="AV122" i="35"/>
  <c r="AU122" i="35"/>
  <c r="H122" i="35"/>
  <c r="H382" i="35" s="1"/>
  <c r="E122" i="35"/>
  <c r="E382" i="35" s="1"/>
  <c r="AY121" i="35"/>
  <c r="AX121" i="35"/>
  <c r="AW121" i="35"/>
  <c r="AV121" i="35"/>
  <c r="AU121" i="35"/>
  <c r="H121" i="35"/>
  <c r="H381" i="35" s="1"/>
  <c r="E121" i="35"/>
  <c r="E381" i="35" s="1"/>
  <c r="AY120" i="35"/>
  <c r="AX120" i="35"/>
  <c r="AW120" i="35"/>
  <c r="AV120" i="35"/>
  <c r="AU120" i="35"/>
  <c r="H120" i="35"/>
  <c r="H380" i="35" s="1"/>
  <c r="E120" i="35"/>
  <c r="E380" i="35" s="1"/>
  <c r="AY119" i="35"/>
  <c r="AX119" i="35"/>
  <c r="AW119" i="35"/>
  <c r="AV119" i="35"/>
  <c r="AU119" i="35"/>
  <c r="H119" i="35"/>
  <c r="H379" i="35" s="1"/>
  <c r="E119" i="35"/>
  <c r="E379" i="35" s="1"/>
  <c r="AY118" i="35"/>
  <c r="AX118" i="35"/>
  <c r="AW118" i="35"/>
  <c r="AV118" i="35"/>
  <c r="AU118" i="35"/>
  <c r="H118" i="35"/>
  <c r="H378" i="35" s="1"/>
  <c r="E118" i="35"/>
  <c r="E378" i="35" s="1"/>
  <c r="AY117" i="35"/>
  <c r="AX117" i="35"/>
  <c r="AW117" i="35"/>
  <c r="AV117" i="35"/>
  <c r="AU117" i="35"/>
  <c r="H117" i="35"/>
  <c r="H377" i="35" s="1"/>
  <c r="E117" i="35"/>
  <c r="E377" i="35" s="1"/>
  <c r="AY116" i="35"/>
  <c r="AX116" i="35"/>
  <c r="AW116" i="35"/>
  <c r="AV116" i="35"/>
  <c r="AU116" i="35"/>
  <c r="H116" i="35"/>
  <c r="H376" i="35" s="1"/>
  <c r="E116" i="35"/>
  <c r="E376" i="35" s="1"/>
  <c r="AY115" i="35"/>
  <c r="AX115" i="35"/>
  <c r="AW115" i="35"/>
  <c r="AV115" i="35"/>
  <c r="AU115" i="35"/>
  <c r="H115" i="35"/>
  <c r="H375" i="35" s="1"/>
  <c r="E115" i="35"/>
  <c r="E375" i="35" s="1"/>
  <c r="AY114" i="35"/>
  <c r="AX114" i="35"/>
  <c r="AW114" i="35"/>
  <c r="AV114" i="35"/>
  <c r="AU114" i="35"/>
  <c r="H114" i="35"/>
  <c r="H374" i="35" s="1"/>
  <c r="E114" i="35"/>
  <c r="E374" i="35" s="1"/>
  <c r="AY113" i="35"/>
  <c r="AX113" i="35"/>
  <c r="AW113" i="35"/>
  <c r="AV113" i="35"/>
  <c r="AU113" i="35"/>
  <c r="H113" i="35"/>
  <c r="H373" i="35" s="1"/>
  <c r="E113" i="35"/>
  <c r="E373" i="35" s="1"/>
  <c r="AY112" i="35"/>
  <c r="AX112" i="35"/>
  <c r="AW112" i="35"/>
  <c r="AV112" i="35"/>
  <c r="AU112" i="35"/>
  <c r="H112" i="35"/>
  <c r="H372" i="35" s="1"/>
  <c r="E112" i="35"/>
  <c r="E372" i="35" s="1"/>
  <c r="AY111" i="35"/>
  <c r="AX111" i="35"/>
  <c r="AW111" i="35"/>
  <c r="AV111" i="35"/>
  <c r="AU111" i="35"/>
  <c r="H111" i="35"/>
  <c r="H371" i="35" s="1"/>
  <c r="E111" i="35"/>
  <c r="E371" i="35" s="1"/>
  <c r="AY110" i="35"/>
  <c r="AX110" i="35"/>
  <c r="AW110" i="35"/>
  <c r="AV110" i="35"/>
  <c r="AU110" i="35"/>
  <c r="H110" i="35"/>
  <c r="H370" i="35" s="1"/>
  <c r="E110" i="35"/>
  <c r="E370" i="35" s="1"/>
  <c r="AY109" i="35"/>
  <c r="AX109" i="35"/>
  <c r="AW109" i="35"/>
  <c r="AV109" i="35"/>
  <c r="AU109" i="35"/>
  <c r="H109" i="35"/>
  <c r="H369" i="35" s="1"/>
  <c r="E109" i="35"/>
  <c r="E369" i="35" s="1"/>
  <c r="AY108" i="35"/>
  <c r="AX108" i="35"/>
  <c r="AW108" i="35"/>
  <c r="AV108" i="35"/>
  <c r="AU108" i="35"/>
  <c r="H108" i="35"/>
  <c r="H368" i="35" s="1"/>
  <c r="E108" i="35"/>
  <c r="E368" i="35" s="1"/>
  <c r="AY107" i="35"/>
  <c r="AX107" i="35"/>
  <c r="AW107" i="35"/>
  <c r="AV107" i="35"/>
  <c r="AU107" i="35"/>
  <c r="H107" i="35"/>
  <c r="H367" i="35" s="1"/>
  <c r="E107" i="35"/>
  <c r="E367" i="35" s="1"/>
  <c r="BC106" i="35"/>
  <c r="AY106" i="35"/>
  <c r="AX106" i="35"/>
  <c r="AW106" i="35"/>
  <c r="AV106" i="35"/>
  <c r="AU106" i="35"/>
  <c r="H106" i="35"/>
  <c r="H366" i="35" s="1"/>
  <c r="E106" i="35"/>
  <c r="E366" i="35" s="1"/>
  <c r="BC105" i="35"/>
  <c r="AY105" i="35"/>
  <c r="AX105" i="35"/>
  <c r="AW105" i="35"/>
  <c r="AV105" i="35"/>
  <c r="AU105" i="35"/>
  <c r="H105" i="35"/>
  <c r="H365" i="35" s="1"/>
  <c r="E105" i="35"/>
  <c r="E365" i="35" s="1"/>
  <c r="BC104" i="35"/>
  <c r="AY104" i="35"/>
  <c r="AX104" i="35"/>
  <c r="AW104" i="35"/>
  <c r="AV104" i="35"/>
  <c r="AU104" i="35"/>
  <c r="H104" i="35"/>
  <c r="H364" i="35" s="1"/>
  <c r="E104" i="35"/>
  <c r="E364" i="35" s="1"/>
  <c r="BC103" i="35"/>
  <c r="AY103" i="35"/>
  <c r="AX103" i="35"/>
  <c r="AW103" i="35"/>
  <c r="AV103" i="35"/>
  <c r="AU103" i="35"/>
  <c r="H103" i="35"/>
  <c r="H363" i="35" s="1"/>
  <c r="E103" i="35"/>
  <c r="E363" i="35" s="1"/>
  <c r="BC102" i="35"/>
  <c r="AY102" i="35"/>
  <c r="AX102" i="35"/>
  <c r="AW102" i="35"/>
  <c r="AV102" i="35"/>
  <c r="AU102" i="35"/>
  <c r="H102" i="35"/>
  <c r="H362" i="35" s="1"/>
  <c r="E102" i="35"/>
  <c r="E362" i="35" s="1"/>
  <c r="BC101" i="35"/>
  <c r="AY101" i="35"/>
  <c r="AX101" i="35"/>
  <c r="AW101" i="35"/>
  <c r="AV101" i="35"/>
  <c r="AU101" i="35"/>
  <c r="H101" i="35"/>
  <c r="H361" i="35" s="1"/>
  <c r="E101" i="35"/>
  <c r="E361" i="35" s="1"/>
  <c r="BC100" i="35"/>
  <c r="AY100" i="35"/>
  <c r="AX100" i="35"/>
  <c r="AW100" i="35"/>
  <c r="AV100" i="35"/>
  <c r="AU100" i="35"/>
  <c r="H100" i="35"/>
  <c r="H360" i="35" s="1"/>
  <c r="E100" i="35"/>
  <c r="E360" i="35" s="1"/>
  <c r="BC99" i="35"/>
  <c r="AY99" i="35"/>
  <c r="AX99" i="35"/>
  <c r="AW99" i="35"/>
  <c r="AV99" i="35"/>
  <c r="AU99" i="35"/>
  <c r="H99" i="35"/>
  <c r="H359" i="35" s="1"/>
  <c r="E99" i="35"/>
  <c r="E359" i="35" s="1"/>
  <c r="BC98" i="35"/>
  <c r="AY98" i="35"/>
  <c r="AX98" i="35"/>
  <c r="AW98" i="35"/>
  <c r="AV98" i="35"/>
  <c r="AU98" i="35"/>
  <c r="H98" i="35"/>
  <c r="H358" i="35" s="1"/>
  <c r="E98" i="35"/>
  <c r="E358" i="35" s="1"/>
  <c r="BC95" i="35"/>
  <c r="AW95" i="35"/>
  <c r="AV95" i="35"/>
  <c r="AU95" i="35"/>
  <c r="BC94" i="35"/>
  <c r="AW94" i="35"/>
  <c r="AV94" i="35"/>
  <c r="AU94" i="35"/>
  <c r="AW93" i="35"/>
  <c r="AV93" i="35"/>
  <c r="AU93" i="35"/>
  <c r="AW92" i="35"/>
  <c r="AV92" i="35"/>
  <c r="AU92" i="35"/>
  <c r="AW91" i="35"/>
  <c r="AV91" i="35"/>
  <c r="AU91" i="35"/>
  <c r="AW90" i="35"/>
  <c r="AV90" i="35"/>
  <c r="AU90" i="35"/>
  <c r="AW89" i="35"/>
  <c r="AV89" i="35"/>
  <c r="AU89" i="35"/>
  <c r="AW88" i="35"/>
  <c r="AV88" i="35"/>
  <c r="AU88" i="35"/>
  <c r="AW87" i="35"/>
  <c r="AV87" i="35"/>
  <c r="AU87" i="35"/>
  <c r="AW86" i="35"/>
  <c r="AV86" i="35"/>
  <c r="AU86" i="35"/>
  <c r="AW85" i="35"/>
  <c r="AV85" i="35"/>
  <c r="AU85" i="35"/>
  <c r="AW84" i="35"/>
  <c r="AV84" i="35"/>
  <c r="AU84" i="35"/>
  <c r="AW83" i="35"/>
  <c r="AV83" i="35"/>
  <c r="AU83" i="35"/>
  <c r="AW82" i="35"/>
  <c r="AV82" i="35"/>
  <c r="AU82" i="35"/>
  <c r="AW81" i="35"/>
  <c r="AV81" i="35"/>
  <c r="AU81" i="35"/>
  <c r="AW80" i="35"/>
  <c r="AV80" i="35"/>
  <c r="AU80" i="35"/>
  <c r="AW79" i="35"/>
  <c r="AV79" i="35"/>
  <c r="AU79" i="35"/>
  <c r="AW78" i="35"/>
  <c r="AV78" i="35"/>
  <c r="AU78" i="35"/>
  <c r="AW77" i="35"/>
  <c r="AV77" i="35"/>
  <c r="AU77" i="35"/>
  <c r="AW76" i="35"/>
  <c r="AV76" i="35"/>
  <c r="AU76" i="35"/>
  <c r="AW75" i="35"/>
  <c r="AV75" i="35"/>
  <c r="AU75" i="35"/>
  <c r="AW74" i="35"/>
  <c r="AV74" i="35"/>
  <c r="AU74" i="35"/>
  <c r="AW73" i="35"/>
  <c r="AV73" i="35"/>
  <c r="AU73" i="35"/>
  <c r="AW72" i="35"/>
  <c r="AV72" i="35"/>
  <c r="AU72" i="35"/>
  <c r="AW71" i="35"/>
  <c r="AV71" i="35"/>
  <c r="AU71" i="35"/>
  <c r="AW70" i="35"/>
  <c r="AV70" i="35"/>
  <c r="AU70" i="35"/>
  <c r="AW69" i="35"/>
  <c r="AV69" i="35"/>
  <c r="AU69" i="35"/>
  <c r="AW68" i="35"/>
  <c r="AV68" i="35"/>
  <c r="AU68" i="35"/>
  <c r="AW67" i="35"/>
  <c r="AV67" i="35"/>
  <c r="AU67" i="35"/>
  <c r="AW66" i="35"/>
  <c r="AV66" i="35"/>
  <c r="AU66" i="35"/>
  <c r="AW64" i="35"/>
  <c r="AV64" i="35"/>
  <c r="AU64" i="35"/>
  <c r="AW63" i="35"/>
  <c r="AV63" i="35"/>
  <c r="AU63" i="35"/>
  <c r="AW62" i="35"/>
  <c r="AV62" i="35"/>
  <c r="AU62" i="35"/>
  <c r="AW61" i="35"/>
  <c r="AV61" i="35"/>
  <c r="AU61" i="35"/>
  <c r="AW60" i="35"/>
  <c r="AV60" i="35"/>
  <c r="AU60" i="35"/>
  <c r="AW59" i="35"/>
  <c r="AV59" i="35"/>
  <c r="AU59" i="35"/>
  <c r="AW58" i="35"/>
  <c r="AV58" i="35"/>
  <c r="AU58" i="35"/>
  <c r="AW57" i="35"/>
  <c r="AV57" i="35"/>
  <c r="AU57" i="35"/>
  <c r="AW56" i="35"/>
  <c r="AV56" i="35"/>
  <c r="AU56" i="35"/>
  <c r="AW55" i="35"/>
  <c r="AV55" i="35"/>
  <c r="AU55" i="35"/>
  <c r="AW54" i="35"/>
  <c r="AV54" i="35"/>
  <c r="AU54" i="35"/>
  <c r="BC53" i="35"/>
  <c r="AW53" i="35"/>
  <c r="AV53" i="35"/>
  <c r="AU53" i="35"/>
  <c r="AY50" i="35"/>
  <c r="AX50" i="35"/>
  <c r="AW50" i="35"/>
  <c r="AV50" i="35"/>
  <c r="AU50" i="35"/>
  <c r="G50" i="35"/>
  <c r="E50" i="35"/>
  <c r="AY49" i="35"/>
  <c r="AX49" i="35"/>
  <c r="AW49" i="35"/>
  <c r="AV49" i="35"/>
  <c r="AU49" i="35"/>
  <c r="G49" i="35"/>
  <c r="E49" i="35"/>
  <c r="AY48" i="35"/>
  <c r="AX48" i="35"/>
  <c r="AW48" i="35"/>
  <c r="AV48" i="35"/>
  <c r="AU48" i="35"/>
  <c r="G48" i="35"/>
  <c r="E48" i="35"/>
  <c r="AY47" i="35"/>
  <c r="AX47" i="35"/>
  <c r="AW47" i="35"/>
  <c r="AV47" i="35"/>
  <c r="AU47" i="35"/>
  <c r="G47" i="35"/>
  <c r="E47" i="35"/>
  <c r="AY46" i="35"/>
  <c r="AX46" i="35"/>
  <c r="AW46" i="35"/>
  <c r="AV46" i="35"/>
  <c r="AU46" i="35"/>
  <c r="G46" i="35"/>
  <c r="E46" i="35"/>
  <c r="AY45" i="35"/>
  <c r="AX45" i="35"/>
  <c r="AW45" i="35"/>
  <c r="AV45" i="35"/>
  <c r="AU45" i="35"/>
  <c r="G45" i="35"/>
  <c r="E45" i="35"/>
  <c r="AY44" i="35"/>
  <c r="AX44" i="35"/>
  <c r="AW44" i="35"/>
  <c r="AV44" i="35"/>
  <c r="AU44" i="35"/>
  <c r="G44" i="35"/>
  <c r="E44" i="35"/>
  <c r="AY43" i="35"/>
  <c r="AX43" i="35"/>
  <c r="AW43" i="35"/>
  <c r="AV43" i="35"/>
  <c r="AU43" i="35"/>
  <c r="G43" i="35"/>
  <c r="E43" i="35"/>
  <c r="AY42" i="35"/>
  <c r="AX42" i="35"/>
  <c r="AW42" i="35"/>
  <c r="AV42" i="35"/>
  <c r="AU42" i="35"/>
  <c r="G42" i="35"/>
  <c r="E42" i="35"/>
  <c r="AY41" i="35"/>
  <c r="AX41" i="35"/>
  <c r="AW41" i="35"/>
  <c r="AV41" i="35"/>
  <c r="AU41" i="35"/>
  <c r="G41" i="35"/>
  <c r="E41" i="35"/>
  <c r="AY40" i="35"/>
  <c r="AX40" i="35"/>
  <c r="AW40" i="35"/>
  <c r="AV40" i="35"/>
  <c r="AU40" i="35"/>
  <c r="G40" i="35"/>
  <c r="E40" i="35"/>
  <c r="AY39" i="35"/>
  <c r="AX39" i="35"/>
  <c r="AW39" i="35"/>
  <c r="AV39" i="35"/>
  <c r="AU39" i="35"/>
  <c r="G39" i="35"/>
  <c r="E39" i="35"/>
  <c r="AY38" i="35"/>
  <c r="AX38" i="35"/>
  <c r="AW38" i="35"/>
  <c r="AV38" i="35"/>
  <c r="AU38" i="35"/>
  <c r="G38" i="35"/>
  <c r="E38" i="35"/>
  <c r="AY37" i="35"/>
  <c r="AX37" i="35"/>
  <c r="AW37" i="35"/>
  <c r="AV37" i="35"/>
  <c r="AU37" i="35"/>
  <c r="G37" i="35"/>
  <c r="E37" i="35"/>
  <c r="AY36" i="35"/>
  <c r="AX36" i="35"/>
  <c r="AW36" i="35"/>
  <c r="AV36" i="35"/>
  <c r="AU36" i="35"/>
  <c r="G36" i="35"/>
  <c r="E36" i="35"/>
  <c r="AY35" i="35"/>
  <c r="AX35" i="35"/>
  <c r="AW35" i="35"/>
  <c r="AV35" i="35"/>
  <c r="AU35" i="35"/>
  <c r="G35" i="35"/>
  <c r="E35" i="35"/>
  <c r="AY34" i="35"/>
  <c r="AX34" i="35"/>
  <c r="AW34" i="35"/>
  <c r="AV34" i="35"/>
  <c r="AU34" i="35"/>
  <c r="G34" i="35"/>
  <c r="E34" i="35"/>
  <c r="AY33" i="35"/>
  <c r="AX33" i="35"/>
  <c r="AW33" i="35"/>
  <c r="AV33" i="35"/>
  <c r="AU33" i="35"/>
  <c r="G33" i="35"/>
  <c r="E33" i="35"/>
  <c r="AY32" i="35"/>
  <c r="AX32" i="35"/>
  <c r="AW32" i="35"/>
  <c r="AV32" i="35"/>
  <c r="AU32" i="35"/>
  <c r="G32" i="35"/>
  <c r="E32" i="35"/>
  <c r="AY31" i="35"/>
  <c r="AX31" i="35"/>
  <c r="AW31" i="35"/>
  <c r="AV31" i="35"/>
  <c r="AU31" i="35"/>
  <c r="G31" i="35"/>
  <c r="E31" i="35"/>
  <c r="AY30" i="35"/>
  <c r="AX30" i="35"/>
  <c r="AW30" i="35"/>
  <c r="AV30" i="35"/>
  <c r="AU30" i="35"/>
  <c r="G30" i="35"/>
  <c r="E30" i="35"/>
  <c r="AY29" i="35"/>
  <c r="AX29" i="35"/>
  <c r="AW29" i="35"/>
  <c r="AV29" i="35"/>
  <c r="AU29" i="35"/>
  <c r="G29" i="35"/>
  <c r="E29" i="35"/>
  <c r="AY28" i="35"/>
  <c r="AX28" i="35"/>
  <c r="AW28" i="35"/>
  <c r="AV28" i="35"/>
  <c r="AU28" i="35"/>
  <c r="G28" i="35"/>
  <c r="E28" i="35"/>
  <c r="AY27" i="35"/>
  <c r="AX27" i="35"/>
  <c r="AW27" i="35"/>
  <c r="AV27" i="35"/>
  <c r="AU27" i="35"/>
  <c r="G27" i="35"/>
  <c r="E27" i="35"/>
  <c r="AY26" i="35"/>
  <c r="AX26" i="35"/>
  <c r="AW26" i="35"/>
  <c r="AV26" i="35"/>
  <c r="AU26" i="35"/>
  <c r="G26" i="35"/>
  <c r="E26" i="35"/>
  <c r="AY25" i="35"/>
  <c r="AX25" i="35"/>
  <c r="AW25" i="35"/>
  <c r="AV25" i="35"/>
  <c r="AU25" i="35"/>
  <c r="G25" i="35"/>
  <c r="E25" i="35"/>
  <c r="AY24" i="35"/>
  <c r="AX24" i="35"/>
  <c r="AW24" i="35"/>
  <c r="AV24" i="35"/>
  <c r="AU24" i="35"/>
  <c r="G24" i="35"/>
  <c r="E24" i="35"/>
  <c r="AY23" i="35"/>
  <c r="AX23" i="35"/>
  <c r="AW23" i="35"/>
  <c r="AV23" i="35"/>
  <c r="AU23" i="35"/>
  <c r="G23" i="35"/>
  <c r="E23" i="35"/>
  <c r="AY22" i="35"/>
  <c r="AX22" i="35"/>
  <c r="AW22" i="35"/>
  <c r="AV22" i="35"/>
  <c r="AU22" i="35"/>
  <c r="G22" i="35"/>
  <c r="E22" i="35"/>
  <c r="AY21" i="35"/>
  <c r="AX21" i="35"/>
  <c r="AW21" i="35"/>
  <c r="AV21" i="35"/>
  <c r="AU21" i="35"/>
  <c r="G21" i="35"/>
  <c r="E21" i="35"/>
  <c r="AY20" i="35"/>
  <c r="AX20" i="35"/>
  <c r="AV20" i="35"/>
  <c r="AU20" i="35"/>
  <c r="G20" i="35"/>
  <c r="E20" i="35"/>
  <c r="AY19" i="35"/>
  <c r="AX19" i="35"/>
  <c r="AW19" i="35"/>
  <c r="AV19" i="35"/>
  <c r="AU19" i="35"/>
  <c r="G19" i="35"/>
  <c r="E19" i="35"/>
  <c r="AY18" i="35"/>
  <c r="AX18" i="35"/>
  <c r="AW18" i="35"/>
  <c r="AV18" i="35"/>
  <c r="AU18" i="35"/>
  <c r="G18" i="35"/>
  <c r="E18" i="35"/>
  <c r="AY17" i="35"/>
  <c r="AX17" i="35"/>
  <c r="AW17" i="35"/>
  <c r="AV17" i="35"/>
  <c r="AU17" i="35"/>
  <c r="G17" i="35"/>
  <c r="E17" i="35"/>
  <c r="AY16" i="35"/>
  <c r="AX16" i="35"/>
  <c r="AW16" i="35"/>
  <c r="AV16" i="35"/>
  <c r="AU16" i="35"/>
  <c r="G16" i="35"/>
  <c r="E16" i="35"/>
  <c r="AY15" i="35"/>
  <c r="AX15" i="35"/>
  <c r="AW15" i="35"/>
  <c r="AV15" i="35"/>
  <c r="AU15" i="35"/>
  <c r="G15" i="35"/>
  <c r="E15" i="35"/>
  <c r="AY14" i="35"/>
  <c r="AX14" i="35"/>
  <c r="AW14" i="35"/>
  <c r="AV14" i="35"/>
  <c r="AU14" i="35"/>
  <c r="G14" i="35"/>
  <c r="E14" i="35"/>
  <c r="AY13" i="35"/>
  <c r="AX13" i="35"/>
  <c r="AW13" i="35"/>
  <c r="AV13" i="35"/>
  <c r="AU13" i="35"/>
  <c r="G13" i="35"/>
  <c r="E13" i="35"/>
  <c r="AY12" i="35"/>
  <c r="AX12" i="35"/>
  <c r="AW12" i="35"/>
  <c r="AV12" i="35"/>
  <c r="AU12" i="35"/>
  <c r="G12" i="35"/>
  <c r="E12" i="35"/>
  <c r="AY11" i="35"/>
  <c r="AX11" i="35"/>
  <c r="AW11" i="35"/>
  <c r="AV11" i="35"/>
  <c r="AU11" i="35"/>
  <c r="G11" i="35"/>
  <c r="E11" i="35"/>
  <c r="AY10" i="35"/>
  <c r="AX10" i="35"/>
  <c r="AW10" i="35"/>
  <c r="AV10" i="35"/>
  <c r="AU10" i="35"/>
  <c r="G10" i="35"/>
  <c r="E10" i="35"/>
  <c r="AY9" i="35"/>
  <c r="AX9" i="35"/>
  <c r="AW9" i="35"/>
  <c r="AV9" i="35"/>
  <c r="AU9" i="35"/>
  <c r="G9" i="35"/>
  <c r="E9" i="35"/>
  <c r="BC8" i="35"/>
  <c r="AY8" i="35"/>
  <c r="AX8" i="35"/>
  <c r="AW8" i="35"/>
  <c r="AV8" i="35"/>
  <c r="AU8" i="35"/>
  <c r="E8" i="35"/>
  <c r="A1" i="35" a="1"/>
  <c r="A1" i="35" s="1"/>
  <c r="AT65" i="15"/>
  <c r="AT13" i="8" s="1"/>
  <c r="AU33" i="8" s="1"/>
  <c r="AS65" i="15"/>
  <c r="AR65" i="15"/>
  <c r="AQ65" i="15"/>
  <c r="AP65" i="15"/>
  <c r="AO65" i="15"/>
  <c r="AN65" i="15"/>
  <c r="AM65" i="15"/>
  <c r="AL65" i="15"/>
  <c r="AK65" i="15"/>
  <c r="AJ65" i="15"/>
  <c r="AI65" i="15"/>
  <c r="AH65" i="15"/>
  <c r="G65" i="15"/>
  <c r="G13" i="8" s="1"/>
  <c r="G469" i="14"/>
  <c r="D17" i="33" a="1"/>
  <c r="D11" i="34" a="1"/>
  <c r="D16" i="32" a="1"/>
  <c r="D13" i="32" a="1"/>
  <c r="D18" i="32" a="1"/>
  <c r="D13" i="8" a="1"/>
  <c r="D11" i="33" a="1"/>
  <c r="D12" i="34" a="1"/>
  <c r="D92" i="27" a="1"/>
  <c r="D11" i="32" a="1"/>
  <c r="D17" i="34" a="1"/>
  <c r="D12" i="33" a="1"/>
  <c r="D12" i="32" a="1"/>
  <c r="AS38" i="40" l="1" a="1"/>
  <c r="AS38" i="40" s="1"/>
  <c r="AS57" i="40"/>
  <c r="AT38" i="40" a="1"/>
  <c r="AT38" i="40" s="1"/>
  <c r="AT57" i="40"/>
  <c r="D92" i="27"/>
  <c r="AU112" i="27"/>
  <c r="AY691" i="35"/>
  <c r="AY689" i="35"/>
  <c r="AY687" i="35"/>
  <c r="AY685" i="35"/>
  <c r="AY683" i="35"/>
  <c r="AY681" i="35"/>
  <c r="AY694" i="35"/>
  <c r="AY54" i="35"/>
  <c r="AY62" i="35"/>
  <c r="AY68" i="35"/>
  <c r="AY74" i="35"/>
  <c r="AY76" i="35"/>
  <c r="AY80" i="35"/>
  <c r="AY58" i="35"/>
  <c r="AY66" i="35"/>
  <c r="AY72" i="35"/>
  <c r="AY93" i="35"/>
  <c r="AY60" i="35"/>
  <c r="AY88" i="35"/>
  <c r="AY56" i="35"/>
  <c r="AY64" i="35"/>
  <c r="AY70" i="35"/>
  <c r="AY78" i="35"/>
  <c r="AY695" i="35"/>
  <c r="AY693" i="35"/>
  <c r="AY86" i="35"/>
  <c r="AY692" i="35"/>
  <c r="AY87" i="35"/>
  <c r="AY55" i="35"/>
  <c r="AY57" i="35"/>
  <c r="AY59" i="35"/>
  <c r="AY61" i="35"/>
  <c r="AY63" i="35"/>
  <c r="AY65" i="35"/>
  <c r="AY67" i="35"/>
  <c r="AY69" i="35"/>
  <c r="AY71" i="35"/>
  <c r="AY73" i="35"/>
  <c r="AY75" i="35"/>
  <c r="AY77" i="35"/>
  <c r="AY79" i="35"/>
  <c r="AY84" i="35"/>
  <c r="AY92" i="35"/>
  <c r="AY94" i="35"/>
  <c r="AY81" i="35"/>
  <c r="AY82" i="35"/>
  <c r="AY90" i="35"/>
  <c r="AY89" i="35"/>
  <c r="AY85" i="35"/>
  <c r="AY53" i="35"/>
  <c r="AY83" i="35"/>
  <c r="AY91" i="35"/>
  <c r="AY95" i="35"/>
  <c r="AY690" i="35"/>
  <c r="AY688" i="35"/>
  <c r="AY686" i="35"/>
  <c r="AY684" i="35"/>
  <c r="AY682" i="35"/>
  <c r="AY680" i="35"/>
  <c r="BA658" i="35"/>
  <c r="BA674" i="35"/>
  <c r="BA673" i="35"/>
  <c r="D12" i="34"/>
  <c r="D17" i="34"/>
  <c r="D11" i="34"/>
  <c r="D11" i="33"/>
  <c r="D12" i="33"/>
  <c r="D17" i="33"/>
  <c r="D13" i="8"/>
  <c r="D13" i="32"/>
  <c r="D18" i="32"/>
  <c r="D16" i="32"/>
  <c r="D11" i="32"/>
  <c r="D12" i="32"/>
  <c r="BA754" i="35"/>
  <c r="BA720" i="35"/>
  <c r="BA762" i="35"/>
  <c r="BA756" i="35"/>
  <c r="BA759" i="35"/>
  <c r="BA757" i="35"/>
  <c r="BA760" i="35"/>
  <c r="BA755" i="35"/>
  <c r="BA763" i="35"/>
  <c r="BA758" i="35"/>
  <c r="BA753" i="35"/>
  <c r="BA761" i="35"/>
  <c r="BA706" i="35"/>
  <c r="BA714" i="35"/>
  <c r="BA722" i="35"/>
  <c r="BA701" i="35"/>
  <c r="BA709" i="35"/>
  <c r="BA717" i="35"/>
  <c r="BA725" i="35"/>
  <c r="BA704" i="35"/>
  <c r="BA699" i="35"/>
  <c r="BA702" i="35"/>
  <c r="BA710" i="35"/>
  <c r="BA718" i="35"/>
  <c r="BA726" i="35"/>
  <c r="BA705" i="35"/>
  <c r="BA713" i="35"/>
  <c r="BA721" i="35"/>
  <c r="BA729" i="35"/>
  <c r="BA723" i="35"/>
  <c r="BA700" i="35"/>
  <c r="BA708" i="35"/>
  <c r="BA716" i="35"/>
  <c r="BA724" i="35"/>
  <c r="BA712" i="35"/>
  <c r="BA728" i="35"/>
  <c r="BA707" i="35"/>
  <c r="BA715" i="35"/>
  <c r="BA703" i="35"/>
  <c r="BA711" i="35"/>
  <c r="BA719" i="35"/>
  <c r="BA727" i="35"/>
  <c r="BA691" i="35"/>
  <c r="BA694" i="35"/>
  <c r="BA692" i="35"/>
  <c r="BA695" i="35"/>
  <c r="BA693" i="35"/>
  <c r="BA508" i="35"/>
  <c r="BA668" i="35"/>
  <c r="BA680" i="35"/>
  <c r="BA688" i="35"/>
  <c r="BA738" i="35"/>
  <c r="BA746" i="35"/>
  <c r="BA771" i="35"/>
  <c r="BA669" i="35"/>
  <c r="BA681" i="35"/>
  <c r="BA689" i="35"/>
  <c r="BA739" i="35"/>
  <c r="BA747" i="35"/>
  <c r="BA772" i="35"/>
  <c r="BA670" i="35"/>
  <c r="BA682" i="35"/>
  <c r="BA732" i="35"/>
  <c r="BA740" i="35"/>
  <c r="BA748" i="35"/>
  <c r="BA774" i="35"/>
  <c r="BA683" i="35"/>
  <c r="BA733" i="35"/>
  <c r="BA775" i="35"/>
  <c r="BA447" i="35"/>
  <c r="BA664" i="35"/>
  <c r="BA672" i="35"/>
  <c r="BA684" i="35"/>
  <c r="BA734" i="35"/>
  <c r="BA742" i="35"/>
  <c r="BA750" i="35"/>
  <c r="BA776" i="35"/>
  <c r="BA663" i="35"/>
  <c r="BA420" i="35"/>
  <c r="BA602" i="35"/>
  <c r="BA665" i="35"/>
  <c r="BA675" i="35"/>
  <c r="BA685" i="35"/>
  <c r="BA735" i="35"/>
  <c r="BA743" i="35"/>
  <c r="BA751" i="35"/>
  <c r="BA777" i="35"/>
  <c r="BA741" i="35"/>
  <c r="BA666" i="35"/>
  <c r="BA676" i="35"/>
  <c r="BA686" i="35"/>
  <c r="BA698" i="35"/>
  <c r="BA736" i="35"/>
  <c r="BA744" i="35"/>
  <c r="BA752" i="35"/>
  <c r="BA767" i="35"/>
  <c r="BA780" i="35"/>
  <c r="BA662" i="35"/>
  <c r="BA690" i="35"/>
  <c r="BA474" i="35"/>
  <c r="BA671" i="35"/>
  <c r="BA749" i="35"/>
  <c r="BA667" i="35"/>
  <c r="BA677" i="35"/>
  <c r="BA687" i="35"/>
  <c r="BA737" i="35"/>
  <c r="BA745" i="35"/>
  <c r="BA768" i="35"/>
  <c r="BA781" i="35"/>
  <c r="BA444" i="35"/>
  <c r="BA471" i="35"/>
  <c r="BA575" i="35"/>
  <c r="BA383" i="35"/>
  <c r="BA410" i="35"/>
  <c r="BA498" i="35"/>
  <c r="BA548" i="35"/>
  <c r="BA380" i="35"/>
  <c r="BA407" i="35"/>
  <c r="BA434" i="35"/>
  <c r="BA484" i="35"/>
  <c r="BA538" i="35"/>
  <c r="BA612" i="35"/>
  <c r="BA370" i="35"/>
  <c r="BA511" i="35"/>
  <c r="BA599" i="35"/>
  <c r="BA362" i="35"/>
  <c r="BA372" i="35"/>
  <c r="BA399" i="35"/>
  <c r="BA426" i="35"/>
  <c r="BA436" i="35"/>
  <c r="BA463" i="35"/>
  <c r="BA490" i="35"/>
  <c r="BA500" i="35"/>
  <c r="BA527" i="35"/>
  <c r="BA554" i="35"/>
  <c r="BA564" i="35"/>
  <c r="BA591" i="35"/>
  <c r="BA535" i="35"/>
  <c r="BA359" i="35"/>
  <c r="BA386" i="35"/>
  <c r="BA396" i="35"/>
  <c r="BA423" i="35"/>
  <c r="BA450" i="35"/>
  <c r="BA460" i="35"/>
  <c r="BA487" i="35"/>
  <c r="BA514" i="35"/>
  <c r="BA524" i="35"/>
  <c r="BA551" i="35"/>
  <c r="BA578" i="35"/>
  <c r="BA588" i="35"/>
  <c r="BA615" i="35"/>
  <c r="BA367" i="35"/>
  <c r="BA394" i="35"/>
  <c r="BA404" i="35"/>
  <c r="BA431" i="35"/>
  <c r="BA458" i="35"/>
  <c r="BA468" i="35"/>
  <c r="BA495" i="35"/>
  <c r="BA522" i="35"/>
  <c r="BA532" i="35"/>
  <c r="BA559" i="35"/>
  <c r="BA586" i="35"/>
  <c r="BA596" i="35"/>
  <c r="BA572" i="35"/>
  <c r="BA364" i="35"/>
  <c r="BA391" i="35"/>
  <c r="BA418" i="35"/>
  <c r="BA428" i="35"/>
  <c r="BA455" i="35"/>
  <c r="BA482" i="35"/>
  <c r="BA492" i="35"/>
  <c r="BA519" i="35"/>
  <c r="BA546" i="35"/>
  <c r="BA556" i="35"/>
  <c r="BA583" i="35"/>
  <c r="BA610" i="35"/>
  <c r="BA378" i="35"/>
  <c r="BA388" i="35"/>
  <c r="BA415" i="35"/>
  <c r="BA442" i="35"/>
  <c r="BA452" i="35"/>
  <c r="BA479" i="35"/>
  <c r="BA506" i="35"/>
  <c r="BA516" i="35"/>
  <c r="BA543" i="35"/>
  <c r="BA570" i="35"/>
  <c r="BA580" i="35"/>
  <c r="BA607" i="35"/>
  <c r="BA562" i="35"/>
  <c r="BA375" i="35"/>
  <c r="BA402" i="35"/>
  <c r="BA412" i="35"/>
  <c r="BA439" i="35"/>
  <c r="BA466" i="35"/>
  <c r="BA476" i="35"/>
  <c r="BA503" i="35"/>
  <c r="BA530" i="35"/>
  <c r="BA540" i="35"/>
  <c r="BA567" i="35"/>
  <c r="BA594" i="35"/>
  <c r="BA604" i="35"/>
  <c r="BA365" i="35"/>
  <c r="BA373" i="35"/>
  <c r="BA381" i="35"/>
  <c r="BA389" i="35"/>
  <c r="BA397" i="35"/>
  <c r="BA405" i="35"/>
  <c r="BA413" i="35"/>
  <c r="BA421" i="35"/>
  <c r="BA429" i="35"/>
  <c r="BA437" i="35"/>
  <c r="BA445" i="35"/>
  <c r="BA453" i="35"/>
  <c r="BA461" i="35"/>
  <c r="BA469" i="35"/>
  <c r="BA477" i="35"/>
  <c r="BA485" i="35"/>
  <c r="BA493" i="35"/>
  <c r="BA501" i="35"/>
  <c r="BA509" i="35"/>
  <c r="BA517" i="35"/>
  <c r="BA525" i="35"/>
  <c r="BA533" i="35"/>
  <c r="BA541" i="35"/>
  <c r="BA549" i="35"/>
  <c r="BA557" i="35"/>
  <c r="BA565" i="35"/>
  <c r="BA573" i="35"/>
  <c r="BA581" i="35"/>
  <c r="BA589" i="35"/>
  <c r="BA597" i="35"/>
  <c r="BA605" i="35"/>
  <c r="BA613" i="35"/>
  <c r="BA360" i="35"/>
  <c r="BA368" i="35"/>
  <c r="BA376" i="35"/>
  <c r="BA384" i="35"/>
  <c r="BA392" i="35"/>
  <c r="BA400" i="35"/>
  <c r="BA408" i="35"/>
  <c r="BA416" i="35"/>
  <c r="BA424" i="35"/>
  <c r="BA432" i="35"/>
  <c r="BA440" i="35"/>
  <c r="BA448" i="35"/>
  <c r="BA456" i="35"/>
  <c r="BA464" i="35"/>
  <c r="BA472" i="35"/>
  <c r="BA480" i="35"/>
  <c r="BA488" i="35"/>
  <c r="BA496" i="35"/>
  <c r="BA504" i="35"/>
  <c r="BA512" i="35"/>
  <c r="BA520" i="35"/>
  <c r="BA528" i="35"/>
  <c r="BA536" i="35"/>
  <c r="BA544" i="35"/>
  <c r="BA552" i="35"/>
  <c r="BA560" i="35"/>
  <c r="BA568" i="35"/>
  <c r="BA576" i="35"/>
  <c r="BA584" i="35"/>
  <c r="BA592" i="35"/>
  <c r="BA600" i="35"/>
  <c r="BA608" i="35"/>
  <c r="BA363" i="35"/>
  <c r="BA371" i="35"/>
  <c r="BA379" i="35"/>
  <c r="BA387" i="35"/>
  <c r="BA395" i="35"/>
  <c r="BA403" i="35"/>
  <c r="BA411" i="35"/>
  <c r="BA419" i="35"/>
  <c r="BA427" i="35"/>
  <c r="BA435" i="35"/>
  <c r="BA443" i="35"/>
  <c r="BA451" i="35"/>
  <c r="BA459" i="35"/>
  <c r="BA467" i="35"/>
  <c r="BA475" i="35"/>
  <c r="BA483" i="35"/>
  <c r="BA491" i="35"/>
  <c r="BA499" i="35"/>
  <c r="BA507" i="35"/>
  <c r="BA515" i="35"/>
  <c r="BA523" i="35"/>
  <c r="BA531" i="35"/>
  <c r="BA539" i="35"/>
  <c r="BA547" i="35"/>
  <c r="BA555" i="35"/>
  <c r="BA563" i="35"/>
  <c r="BA571" i="35"/>
  <c r="BA579" i="35"/>
  <c r="BA587" i="35"/>
  <c r="BA595" i="35"/>
  <c r="BA603" i="35"/>
  <c r="BA611" i="35"/>
  <c r="BA366" i="35"/>
  <c r="BA374" i="35"/>
  <c r="BA382" i="35"/>
  <c r="BA390" i="35"/>
  <c r="BA398" i="35"/>
  <c r="BA406" i="35"/>
  <c r="BA414" i="35"/>
  <c r="BA422" i="35"/>
  <c r="BA430" i="35"/>
  <c r="BA438" i="35"/>
  <c r="BA446" i="35"/>
  <c r="BA454" i="35"/>
  <c r="BA462" i="35"/>
  <c r="BA470" i="35"/>
  <c r="BA478" i="35"/>
  <c r="BA486" i="35"/>
  <c r="BA494" i="35"/>
  <c r="BA502" i="35"/>
  <c r="BA510" i="35"/>
  <c r="BA518" i="35"/>
  <c r="BA526" i="35"/>
  <c r="BA534" i="35"/>
  <c r="BA542" i="35"/>
  <c r="BA550" i="35"/>
  <c r="BA558" i="35"/>
  <c r="BA566" i="35"/>
  <c r="BA574" i="35"/>
  <c r="BA582" i="35"/>
  <c r="BA590" i="35"/>
  <c r="BA598" i="35"/>
  <c r="BA606" i="35"/>
  <c r="BA614" i="35"/>
  <c r="BA361" i="35"/>
  <c r="BA369" i="35"/>
  <c r="BA377" i="35"/>
  <c r="BA385" i="35"/>
  <c r="BA393" i="35"/>
  <c r="BA401" i="35"/>
  <c r="BA409" i="35"/>
  <c r="BA417" i="35"/>
  <c r="BA425" i="35"/>
  <c r="BA433" i="35"/>
  <c r="BA441" i="35"/>
  <c r="BA449" i="35"/>
  <c r="BA457" i="35"/>
  <c r="BA465" i="35"/>
  <c r="BA473" i="35"/>
  <c r="BA481" i="35"/>
  <c r="BA489" i="35"/>
  <c r="BA497" i="35"/>
  <c r="BA505" i="35"/>
  <c r="BA513" i="35"/>
  <c r="BA521" i="35"/>
  <c r="BA529" i="35"/>
  <c r="BA537" i="35"/>
  <c r="BA545" i="35"/>
  <c r="BA553" i="35"/>
  <c r="BA561" i="35"/>
  <c r="BA569" i="35"/>
  <c r="BA577" i="35"/>
  <c r="BA585" i="35"/>
  <c r="BA593" i="35"/>
  <c r="BA601" i="35"/>
  <c r="BA609" i="35"/>
  <c r="BA168" i="35"/>
  <c r="BA232" i="35"/>
  <c r="BA115" i="35"/>
  <c r="BA147" i="35"/>
  <c r="BA179" i="35"/>
  <c r="BA211" i="35"/>
  <c r="BA243" i="35"/>
  <c r="BA275" i="35"/>
  <c r="BA307" i="35"/>
  <c r="BA339" i="35"/>
  <c r="BA112" i="35"/>
  <c r="BA144" i="35"/>
  <c r="BA176" i="35"/>
  <c r="BA208" i="35"/>
  <c r="BA240" i="35"/>
  <c r="BA272" i="35"/>
  <c r="BA304" i="35"/>
  <c r="BA336" i="35"/>
  <c r="BA136" i="35"/>
  <c r="BA328" i="35"/>
  <c r="BA123" i="35"/>
  <c r="BA155" i="35"/>
  <c r="BA187" i="35"/>
  <c r="BA219" i="35"/>
  <c r="BA251" i="35"/>
  <c r="BA283" i="35"/>
  <c r="BA315" i="35"/>
  <c r="BA120" i="35"/>
  <c r="BA152" i="35"/>
  <c r="BA184" i="35"/>
  <c r="BA216" i="35"/>
  <c r="BA248" i="35"/>
  <c r="BA280" i="35"/>
  <c r="BA312" i="35"/>
  <c r="BA344" i="35"/>
  <c r="BA200" i="35"/>
  <c r="BA264" i="35"/>
  <c r="BA131" i="35"/>
  <c r="BA163" i="35"/>
  <c r="BA195" i="35"/>
  <c r="BA227" i="35"/>
  <c r="BA259" i="35"/>
  <c r="BA291" i="35"/>
  <c r="BA323" i="35"/>
  <c r="BA352" i="35"/>
  <c r="BA128" i="35"/>
  <c r="BA160" i="35"/>
  <c r="BA192" i="35"/>
  <c r="BA224" i="35"/>
  <c r="BA256" i="35"/>
  <c r="BA288" i="35"/>
  <c r="BA320" i="35"/>
  <c r="BA296" i="35"/>
  <c r="BA107" i="35"/>
  <c r="BA139" i="35"/>
  <c r="BA171" i="35"/>
  <c r="BA203" i="35"/>
  <c r="BA235" i="35"/>
  <c r="BA267" i="35"/>
  <c r="BA299" i="35"/>
  <c r="BA331" i="35"/>
  <c r="BA56" i="35"/>
  <c r="BA110" i="35"/>
  <c r="BA118" i="35"/>
  <c r="BA126" i="35"/>
  <c r="BA134" i="35"/>
  <c r="BA142" i="35"/>
  <c r="BA150" i="35"/>
  <c r="BA158" i="35"/>
  <c r="BA166" i="35"/>
  <c r="BA174" i="35"/>
  <c r="BA182" i="35"/>
  <c r="BA190" i="35"/>
  <c r="BA198" i="35"/>
  <c r="BA206" i="35"/>
  <c r="BA214" i="35"/>
  <c r="BA222" i="35"/>
  <c r="BA230" i="35"/>
  <c r="BA238" i="35"/>
  <c r="BA246" i="35"/>
  <c r="BA254" i="35"/>
  <c r="BA262" i="35"/>
  <c r="BA270" i="35"/>
  <c r="BA278" i="35"/>
  <c r="BA286" i="35"/>
  <c r="BA294" i="35"/>
  <c r="BA302" i="35"/>
  <c r="BA310" i="35"/>
  <c r="BA318" i="35"/>
  <c r="BA326" i="35"/>
  <c r="BA334" i="35"/>
  <c r="BA342" i="35"/>
  <c r="BA350" i="35"/>
  <c r="BA113" i="35"/>
  <c r="BA121" i="35"/>
  <c r="BA129" i="35"/>
  <c r="BA137" i="35"/>
  <c r="BA145" i="35"/>
  <c r="BA153" i="35"/>
  <c r="BA161" i="35"/>
  <c r="BA169" i="35"/>
  <c r="BA177" i="35"/>
  <c r="BA185" i="35"/>
  <c r="BA193" i="35"/>
  <c r="BA201" i="35"/>
  <c r="BA209" i="35"/>
  <c r="BA217" i="35"/>
  <c r="BA225" i="35"/>
  <c r="BA233" i="35"/>
  <c r="BA241" i="35"/>
  <c r="BA249" i="35"/>
  <c r="BA257" i="35"/>
  <c r="BA265" i="35"/>
  <c r="BA273" i="35"/>
  <c r="BA281" i="35"/>
  <c r="BA289" i="35"/>
  <c r="BA297" i="35"/>
  <c r="BA305" i="35"/>
  <c r="BA313" i="35"/>
  <c r="BA321" i="35"/>
  <c r="BA329" i="35"/>
  <c r="BA337" i="35"/>
  <c r="BA345" i="35"/>
  <c r="BA353" i="35"/>
  <c r="BA64" i="35"/>
  <c r="BA92" i="35"/>
  <c r="BA108" i="35"/>
  <c r="BA116" i="35"/>
  <c r="BA124" i="35"/>
  <c r="BA132" i="35"/>
  <c r="BA140" i="35"/>
  <c r="BA148" i="35"/>
  <c r="BA156" i="35"/>
  <c r="BA164" i="35"/>
  <c r="BA172" i="35"/>
  <c r="BA180" i="35"/>
  <c r="BA188" i="35"/>
  <c r="BA196" i="35"/>
  <c r="BA204" i="35"/>
  <c r="BA212" i="35"/>
  <c r="BA220" i="35"/>
  <c r="BA228" i="35"/>
  <c r="BA236" i="35"/>
  <c r="BA244" i="35"/>
  <c r="BA252" i="35"/>
  <c r="BA260" i="35"/>
  <c r="BA268" i="35"/>
  <c r="BA276" i="35"/>
  <c r="BA284" i="35"/>
  <c r="BA292" i="35"/>
  <c r="BA300" i="35"/>
  <c r="BA308" i="35"/>
  <c r="BA316" i="35"/>
  <c r="BA324" i="35"/>
  <c r="BA332" i="35"/>
  <c r="BA340" i="35"/>
  <c r="BA348" i="35"/>
  <c r="BA54" i="35"/>
  <c r="BA70" i="35"/>
  <c r="BA111" i="35"/>
  <c r="BA119" i="35"/>
  <c r="BA127" i="35"/>
  <c r="BA135" i="35"/>
  <c r="BA143" i="35"/>
  <c r="BA151" i="35"/>
  <c r="BA159" i="35"/>
  <c r="BA167" i="35"/>
  <c r="BA175" i="35"/>
  <c r="BA183" i="35"/>
  <c r="BA191" i="35"/>
  <c r="BA199" i="35"/>
  <c r="BA207" i="35"/>
  <c r="BA215" i="35"/>
  <c r="BA223" i="35"/>
  <c r="BA231" i="35"/>
  <c r="BA239" i="35"/>
  <c r="BA247" i="35"/>
  <c r="BA255" i="35"/>
  <c r="BA263" i="35"/>
  <c r="BA271" i="35"/>
  <c r="BA279" i="35"/>
  <c r="BA287" i="35"/>
  <c r="BA295" i="35"/>
  <c r="BA303" i="35"/>
  <c r="BA311" i="35"/>
  <c r="BA319" i="35"/>
  <c r="BA327" i="35"/>
  <c r="BA335" i="35"/>
  <c r="BA343" i="35"/>
  <c r="BA351" i="35"/>
  <c r="BA78" i="35"/>
  <c r="BA114" i="35"/>
  <c r="BA122" i="35"/>
  <c r="BA130" i="35"/>
  <c r="BA138" i="35"/>
  <c r="BA146" i="35"/>
  <c r="BA154" i="35"/>
  <c r="BA162" i="35"/>
  <c r="BA170" i="35"/>
  <c r="BA178" i="35"/>
  <c r="BA186" i="35"/>
  <c r="BA194" i="35"/>
  <c r="BA202" i="35"/>
  <c r="BA210" i="35"/>
  <c r="BA218" i="35"/>
  <c r="BA226" i="35"/>
  <c r="BA234" i="35"/>
  <c r="BA242" i="35"/>
  <c r="BA250" i="35"/>
  <c r="BA258" i="35"/>
  <c r="BA266" i="35"/>
  <c r="BA274" i="35"/>
  <c r="BA282" i="35"/>
  <c r="BA290" i="35"/>
  <c r="BA298" i="35"/>
  <c r="BA306" i="35"/>
  <c r="BA314" i="35"/>
  <c r="BA322" i="35"/>
  <c r="BA330" i="35"/>
  <c r="BA338" i="35"/>
  <c r="BA346" i="35"/>
  <c r="BA354" i="35"/>
  <c r="BA347" i="35"/>
  <c r="BA355" i="35"/>
  <c r="BA62" i="35"/>
  <c r="BA86" i="35"/>
  <c r="BA109" i="35"/>
  <c r="BA117" i="35"/>
  <c r="BA125" i="35"/>
  <c r="BA133" i="35"/>
  <c r="BA141" i="35"/>
  <c r="BA149" i="35"/>
  <c r="BA157" i="35"/>
  <c r="BA165" i="35"/>
  <c r="BA173" i="35"/>
  <c r="BA181" i="35"/>
  <c r="BA189" i="35"/>
  <c r="BA197" i="35"/>
  <c r="BA205" i="35"/>
  <c r="BA213" i="35"/>
  <c r="BA221" i="35"/>
  <c r="BA229" i="35"/>
  <c r="BA237" i="35"/>
  <c r="BA245" i="35"/>
  <c r="BA253" i="35"/>
  <c r="BA261" i="35"/>
  <c r="BA269" i="35"/>
  <c r="BA277" i="35"/>
  <c r="BA285" i="35"/>
  <c r="BA293" i="35"/>
  <c r="BA301" i="35"/>
  <c r="BA309" i="35"/>
  <c r="BA317" i="35"/>
  <c r="BA325" i="35"/>
  <c r="BA333" i="35"/>
  <c r="BA341" i="35"/>
  <c r="BA349" i="35"/>
  <c r="BA59" i="35"/>
  <c r="BA67" i="35"/>
  <c r="BA73" i="35"/>
  <c r="BA81" i="35"/>
  <c r="BA89" i="35"/>
  <c r="BA76" i="35"/>
  <c r="BA84" i="35"/>
  <c r="BA57" i="35"/>
  <c r="BA65" i="35"/>
  <c r="BA71" i="35"/>
  <c r="BA79" i="35"/>
  <c r="BA87" i="35"/>
  <c r="BA60" i="35"/>
  <c r="BA68" i="35"/>
  <c r="BA74" i="35"/>
  <c r="BA82" i="35"/>
  <c r="BA90" i="35"/>
  <c r="BA55" i="35"/>
  <c r="BA63" i="35"/>
  <c r="BA77" i="35"/>
  <c r="BA85" i="35"/>
  <c r="BA93" i="35"/>
  <c r="BA58" i="35"/>
  <c r="BA66" i="35"/>
  <c r="BA72" i="35"/>
  <c r="BA80" i="35"/>
  <c r="BA88" i="35"/>
  <c r="BA61" i="35"/>
  <c r="BA69" i="35"/>
  <c r="BA75" i="35"/>
  <c r="BA83" i="35"/>
  <c r="BA91" i="35"/>
  <c r="BA16" i="35"/>
  <c r="BA24" i="35"/>
  <c r="BA30" i="35"/>
  <c r="BA38" i="35"/>
  <c r="BA46" i="35"/>
  <c r="BA11" i="35"/>
  <c r="BA19" i="35"/>
  <c r="BA25" i="35"/>
  <c r="BA33" i="35"/>
  <c r="BA41" i="35"/>
  <c r="BA49" i="35"/>
  <c r="BA14" i="35"/>
  <c r="BA22" i="35"/>
  <c r="BA28" i="35"/>
  <c r="BA36" i="35"/>
  <c r="BA44" i="35"/>
  <c r="BA21" i="35"/>
  <c r="BA43" i="35"/>
  <c r="BA9" i="35"/>
  <c r="BA17" i="35"/>
  <c r="BA31" i="35"/>
  <c r="BA39" i="35"/>
  <c r="BA47" i="35"/>
  <c r="BA27" i="35"/>
  <c r="BA12" i="35"/>
  <c r="BA20" i="35"/>
  <c r="BA26" i="35"/>
  <c r="BA34" i="35"/>
  <c r="BA42" i="35"/>
  <c r="BA50" i="35"/>
  <c r="BA13" i="35"/>
  <c r="BA35" i="35"/>
  <c r="BA15" i="35"/>
  <c r="BA23" i="35"/>
  <c r="BA29" i="35"/>
  <c r="BA37" i="35"/>
  <c r="BA45" i="35"/>
  <c r="BA10" i="35"/>
  <c r="BA18" i="35"/>
  <c r="BA32" i="35"/>
  <c r="BA40" i="35"/>
  <c r="BA48" i="35"/>
  <c r="BA649" i="35"/>
  <c r="BA103" i="35"/>
  <c r="BA620" i="35"/>
  <c r="BA631" i="35"/>
  <c r="BA639" i="35"/>
  <c r="BA650" i="35"/>
  <c r="BA630" i="35"/>
  <c r="BA8" i="35"/>
  <c r="BA94" i="35"/>
  <c r="BA104" i="35"/>
  <c r="BA358" i="35"/>
  <c r="BA623" i="35"/>
  <c r="BA632" i="35"/>
  <c r="BA640" i="35"/>
  <c r="BA653" i="35"/>
  <c r="BA102" i="35"/>
  <c r="BA619" i="35"/>
  <c r="BA53" i="35"/>
  <c r="BA95" i="35"/>
  <c r="BA105" i="35"/>
  <c r="BA624" i="35"/>
  <c r="BA633" i="35"/>
  <c r="BA641" i="35"/>
  <c r="BA654" i="35"/>
  <c r="BA638" i="35"/>
  <c r="BA98" i="35"/>
  <c r="BA106" i="35"/>
  <c r="BA625" i="35"/>
  <c r="BA634" i="35"/>
  <c r="BA645" i="35"/>
  <c r="BA655" i="35"/>
  <c r="BA99" i="35"/>
  <c r="BA626" i="35"/>
  <c r="BA635" i="35"/>
  <c r="BA646" i="35"/>
  <c r="BA656" i="35"/>
  <c r="BA100" i="35"/>
  <c r="BA627" i="35"/>
  <c r="BA636" i="35"/>
  <c r="BA647" i="35"/>
  <c r="BA657" i="35"/>
  <c r="BA101" i="35"/>
  <c r="BA628" i="35"/>
  <c r="BA637" i="35"/>
  <c r="BA648" i="35"/>
  <c r="AU768" i="35" a="1"/>
  <c r="AU768" i="35" s="1"/>
  <c r="AV768" i="35" a="1"/>
  <c r="AV768" i="35" s="1"/>
  <c r="AY768" i="35" a="1"/>
  <c r="AY768" i="35" s="1"/>
  <c r="AX768" i="35" a="1"/>
  <c r="AX768" i="35" s="1"/>
  <c r="AW768" i="35" a="1"/>
  <c r="AW768" i="35" s="1"/>
  <c r="AW620" i="35" a="1"/>
  <c r="AW620" i="35" s="1"/>
  <c r="AY360" i="35"/>
  <c r="AU368" i="35"/>
  <c r="AU376" i="35"/>
  <c r="AV384" i="35"/>
  <c r="AV416" i="35"/>
  <c r="AW448" i="35"/>
  <c r="AU454" i="35"/>
  <c r="AY362" i="35"/>
  <c r="AY383" i="35"/>
  <c r="AV379" i="35"/>
  <c r="AW467" i="35"/>
  <c r="AX620" i="35" a="1"/>
  <c r="AX620" i="35" s="1"/>
  <c r="AY364" i="35"/>
  <c r="AY372" i="35"/>
  <c r="AY396" i="35"/>
  <c r="AW404" i="35"/>
  <c r="AY414" i="35"/>
  <c r="AY359" i="35"/>
  <c r="AW359" i="35"/>
  <c r="AU359" i="35"/>
  <c r="AX359" i="35"/>
  <c r="AV359" i="35"/>
  <c r="AY367" i="35"/>
  <c r="AX367" i="35"/>
  <c r="AW367" i="35"/>
  <c r="AV367" i="35"/>
  <c r="AU367" i="35"/>
  <c r="AY375" i="35"/>
  <c r="AX375" i="35"/>
  <c r="AW375" i="35"/>
  <c r="AV375" i="35"/>
  <c r="AU375" i="35"/>
  <c r="AW399" i="35"/>
  <c r="AV399" i="35"/>
  <c r="AU399" i="35"/>
  <c r="AY399" i="35"/>
  <c r="AX399" i="35"/>
  <c r="AU393" i="35"/>
  <c r="AY393" i="35"/>
  <c r="AX393" i="35"/>
  <c r="AW393" i="35"/>
  <c r="AV393" i="35"/>
  <c r="AW425" i="35"/>
  <c r="AU425" i="35"/>
  <c r="AY425" i="35"/>
  <c r="AX425" i="35"/>
  <c r="AV425" i="35"/>
  <c r="AY433" i="35"/>
  <c r="AW433" i="35"/>
  <c r="AU433" i="35"/>
  <c r="AX433" i="35"/>
  <c r="AV433" i="35"/>
  <c r="AX386" i="35"/>
  <c r="AW386" i="35"/>
  <c r="AV386" i="35"/>
  <c r="AY386" i="35"/>
  <c r="AU386" i="35"/>
  <c r="AX418" i="35"/>
  <c r="AW418" i="35"/>
  <c r="AV418" i="35"/>
  <c r="AY418" i="35"/>
  <c r="AU418" i="35"/>
  <c r="AV380" i="35"/>
  <c r="AU380" i="35"/>
  <c r="AY380" i="35"/>
  <c r="AX380" i="35"/>
  <c r="AW380" i="35"/>
  <c r="AV412" i="35"/>
  <c r="AU412" i="35"/>
  <c r="AY412" i="35"/>
  <c r="AX412" i="35"/>
  <c r="AW412" i="35"/>
  <c r="AY365" i="35"/>
  <c r="AX365" i="35"/>
  <c r="AW365" i="35"/>
  <c r="AV365" i="35"/>
  <c r="AU365" i="35"/>
  <c r="AW377" i="35"/>
  <c r="AV377" i="35"/>
  <c r="AU377" i="35"/>
  <c r="AY377" i="35"/>
  <c r="AU385" i="35"/>
  <c r="AY385" i="35"/>
  <c r="AX385" i="35"/>
  <c r="AW385" i="35"/>
  <c r="AU401" i="35"/>
  <c r="AY401" i="35"/>
  <c r="AX401" i="35"/>
  <c r="AW401" i="35"/>
  <c r="AV401" i="35"/>
  <c r="AU409" i="35"/>
  <c r="AW409" i="35"/>
  <c r="AV409" i="35"/>
  <c r="AY409" i="35"/>
  <c r="AU429" i="35"/>
  <c r="AY429" i="35"/>
  <c r="AX429" i="35"/>
  <c r="AW429" i="35"/>
  <c r="AU437" i="35"/>
  <c r="AY437" i="35"/>
  <c r="AX437" i="35"/>
  <c r="AW437" i="35"/>
  <c r="AV437" i="35"/>
  <c r="AY441" i="35"/>
  <c r="AW441" i="35"/>
  <c r="AU441" i="35"/>
  <c r="AX441" i="35"/>
  <c r="AU445" i="35"/>
  <c r="AY445" i="35"/>
  <c r="AX445" i="35"/>
  <c r="AW445" i="35"/>
  <c r="AV445" i="35"/>
  <c r="AU453" i="35"/>
  <c r="AY453" i="35"/>
  <c r="AX453" i="35"/>
  <c r="AW453" i="35"/>
  <c r="AV453" i="35"/>
  <c r="AY457" i="35"/>
  <c r="AW457" i="35"/>
  <c r="AU457" i="35"/>
  <c r="AX457" i="35"/>
  <c r="AV457" i="35"/>
  <c r="AV461" i="35"/>
  <c r="AY461" i="35"/>
  <c r="AX461" i="35"/>
  <c r="AW461" i="35"/>
  <c r="AU461" i="35"/>
  <c r="AX465" i="35"/>
  <c r="AW465" i="35"/>
  <c r="AV465" i="35"/>
  <c r="AU465" i="35"/>
  <c r="AY465" i="35"/>
  <c r="AX469" i="35"/>
  <c r="AW469" i="35"/>
  <c r="AV469" i="35"/>
  <c r="AY469" i="35"/>
  <c r="AU469" i="35"/>
  <c r="AX473" i="35"/>
  <c r="AW473" i="35"/>
  <c r="AV473" i="35"/>
  <c r="AU473" i="35"/>
  <c r="AY473" i="35"/>
  <c r="AY477" i="35"/>
  <c r="AX477" i="35"/>
  <c r="AW477" i="35"/>
  <c r="AV477" i="35"/>
  <c r="AU477" i="35"/>
  <c r="AX481" i="35"/>
  <c r="AW481" i="35"/>
  <c r="AV481" i="35"/>
  <c r="AY481" i="35"/>
  <c r="AU481" i="35"/>
  <c r="AX485" i="35"/>
  <c r="AW485" i="35"/>
  <c r="AV485" i="35"/>
  <c r="AU485" i="35"/>
  <c r="AY485" i="35"/>
  <c r="AX489" i="35"/>
  <c r="AW489" i="35"/>
  <c r="AV489" i="35"/>
  <c r="AY489" i="35"/>
  <c r="AU489" i="35"/>
  <c r="AX493" i="35"/>
  <c r="AV493" i="35"/>
  <c r="AW493" i="35"/>
  <c r="AU493" i="35"/>
  <c r="AY493" i="35"/>
  <c r="AX497" i="35"/>
  <c r="AW497" i="35"/>
  <c r="AV497" i="35"/>
  <c r="AY497" i="35"/>
  <c r="AU497" i="35"/>
  <c r="AX501" i="35"/>
  <c r="AV501" i="35"/>
  <c r="AY501" i="35"/>
  <c r="AW501" i="35"/>
  <c r="AU501" i="35"/>
  <c r="AV505" i="35"/>
  <c r="AX505" i="35"/>
  <c r="AW505" i="35"/>
  <c r="AU505" i="35"/>
  <c r="AY505" i="35"/>
  <c r="AY509" i="35"/>
  <c r="AX509" i="35"/>
  <c r="AW509" i="35"/>
  <c r="AV509" i="35"/>
  <c r="AU509" i="35"/>
  <c r="AX513" i="35"/>
  <c r="AV513" i="35"/>
  <c r="AU513" i="35"/>
  <c r="AY513" i="35"/>
  <c r="AW513" i="35"/>
  <c r="AY530" i="35"/>
  <c r="AU530" i="35"/>
  <c r="AW530" i="35"/>
  <c r="AX530" i="35"/>
  <c r="AV530" i="35"/>
  <c r="AW536" i="35"/>
  <c r="AV536" i="35"/>
  <c r="AY536" i="35"/>
  <c r="AU536" i="35"/>
  <c r="AX536" i="35"/>
  <c r="AX540" i="35"/>
  <c r="AW540" i="35"/>
  <c r="AV540" i="35"/>
  <c r="AU540" i="35"/>
  <c r="AY540" i="35"/>
  <c r="AX548" i="35"/>
  <c r="AW548" i="35"/>
  <c r="AV548" i="35"/>
  <c r="AU548" i="35"/>
  <c r="AY548" i="35"/>
  <c r="AX556" i="35"/>
  <c r="AW556" i="35"/>
  <c r="AV556" i="35"/>
  <c r="AU556" i="35"/>
  <c r="AY556" i="35"/>
  <c r="AX564" i="35"/>
  <c r="AW564" i="35"/>
  <c r="AV564" i="35"/>
  <c r="AU564" i="35"/>
  <c r="AY564" i="35"/>
  <c r="AX572" i="35"/>
  <c r="AW572" i="35"/>
  <c r="AV572" i="35"/>
  <c r="AU572" i="35"/>
  <c r="AY572" i="35"/>
  <c r="AV580" i="35"/>
  <c r="AX580" i="35"/>
  <c r="AW580" i="35"/>
  <c r="AY580" i="35"/>
  <c r="AU580" i="35"/>
  <c r="AV588" i="35"/>
  <c r="AX588" i="35"/>
  <c r="AW588" i="35"/>
  <c r="AY588" i="35"/>
  <c r="AU588" i="35"/>
  <c r="AV596" i="35"/>
  <c r="AX596" i="35"/>
  <c r="AW596" i="35"/>
  <c r="AY596" i="35"/>
  <c r="AU596" i="35"/>
  <c r="AV604" i="35"/>
  <c r="AX604" i="35"/>
  <c r="AW604" i="35"/>
  <c r="AY604" i="35"/>
  <c r="AU604" i="35"/>
  <c r="AV385" i="35"/>
  <c r="AW361" i="35"/>
  <c r="AU361" i="35"/>
  <c r="AY361" i="35"/>
  <c r="AW369" i="35"/>
  <c r="AV369" i="35"/>
  <c r="AU369" i="35"/>
  <c r="AY369" i="35"/>
  <c r="AY381" i="35"/>
  <c r="AX381" i="35"/>
  <c r="AW381" i="35"/>
  <c r="AV381" i="35"/>
  <c r="AU381" i="35"/>
  <c r="AY405" i="35"/>
  <c r="AX405" i="35"/>
  <c r="AW405" i="35"/>
  <c r="AV405" i="35"/>
  <c r="AU405" i="35"/>
  <c r="AY413" i="35"/>
  <c r="AX413" i="35"/>
  <c r="AW413" i="35"/>
  <c r="AV413" i="35"/>
  <c r="AU413" i="35"/>
  <c r="AY421" i="35"/>
  <c r="AX421" i="35"/>
  <c r="AW421" i="35"/>
  <c r="AV421" i="35"/>
  <c r="AU421" i="35"/>
  <c r="AY449" i="35"/>
  <c r="AW449" i="35"/>
  <c r="AU449" i="35"/>
  <c r="AX449" i="35"/>
  <c r="AV449" i="35"/>
  <c r="AW518" i="35"/>
  <c r="AU518" i="35"/>
  <c r="AY518" i="35"/>
  <c r="AV518" i="35"/>
  <c r="AX518" i="35"/>
  <c r="AX524" i="35"/>
  <c r="AW524" i="35"/>
  <c r="AV524" i="35"/>
  <c r="AU524" i="35"/>
  <c r="AY524" i="35"/>
  <c r="AU531" i="35"/>
  <c r="AX531" i="35"/>
  <c r="AV531" i="35"/>
  <c r="AY531" i="35"/>
  <c r="AW531" i="35"/>
  <c r="AW537" i="35"/>
  <c r="AV537" i="35"/>
  <c r="AY537" i="35"/>
  <c r="AU537" i="35"/>
  <c r="AX537" i="35"/>
  <c r="AX377" i="35"/>
  <c r="AY389" i="35"/>
  <c r="AX389" i="35"/>
  <c r="AW389" i="35"/>
  <c r="AV389" i="35"/>
  <c r="AU389" i="35"/>
  <c r="AV358" i="35"/>
  <c r="AY358" i="35"/>
  <c r="AX358" i="35"/>
  <c r="AX362" i="35"/>
  <c r="AW362" i="35"/>
  <c r="AV362" i="35"/>
  <c r="AU362" i="35"/>
  <c r="AV366" i="35"/>
  <c r="AU366" i="35"/>
  <c r="AY366" i="35"/>
  <c r="AX366" i="35"/>
  <c r="AY370" i="35"/>
  <c r="AX370" i="35"/>
  <c r="AW370" i="35"/>
  <c r="AV370" i="35"/>
  <c r="AU370" i="35"/>
  <c r="AV374" i="35"/>
  <c r="AU374" i="35"/>
  <c r="AY374" i="35"/>
  <c r="AX374" i="35"/>
  <c r="AY378" i="35"/>
  <c r="AX378" i="35"/>
  <c r="AW378" i="35"/>
  <c r="AV378" i="35"/>
  <c r="AU378" i="35"/>
  <c r="AX382" i="35"/>
  <c r="AW382" i="35"/>
  <c r="AV382" i="35"/>
  <c r="AU382" i="35"/>
  <c r="AV390" i="35"/>
  <c r="AU390" i="35"/>
  <c r="AY390" i="35"/>
  <c r="AX390" i="35"/>
  <c r="AX394" i="35"/>
  <c r="AW394" i="35"/>
  <c r="AV394" i="35"/>
  <c r="AY394" i="35"/>
  <c r="AU394" i="35"/>
  <c r="AY398" i="35"/>
  <c r="AX398" i="35"/>
  <c r="AW398" i="35"/>
  <c r="AV398" i="35"/>
  <c r="AX402" i="35"/>
  <c r="AW402" i="35"/>
  <c r="AV402" i="35"/>
  <c r="AU402" i="35"/>
  <c r="AY406" i="35"/>
  <c r="AX406" i="35"/>
  <c r="AW406" i="35"/>
  <c r="AV406" i="35"/>
  <c r="AU406" i="35"/>
  <c r="AX410" i="35"/>
  <c r="AW410" i="35"/>
  <c r="AV410" i="35"/>
  <c r="AY410" i="35"/>
  <c r="AU410" i="35"/>
  <c r="AX414" i="35"/>
  <c r="AW414" i="35"/>
  <c r="AV414" i="35"/>
  <c r="AU414" i="35"/>
  <c r="AV422" i="35"/>
  <c r="AU422" i="35"/>
  <c r="AY422" i="35"/>
  <c r="AX422" i="35"/>
  <c r="AX426" i="35"/>
  <c r="AW426" i="35"/>
  <c r="AV426" i="35"/>
  <c r="AY426" i="35"/>
  <c r="AU426" i="35"/>
  <c r="AX430" i="35"/>
  <c r="AV430" i="35"/>
  <c r="AW430" i="35"/>
  <c r="AU430" i="35"/>
  <c r="AX434" i="35"/>
  <c r="AW434" i="35"/>
  <c r="AV434" i="35"/>
  <c r="AY434" i="35"/>
  <c r="AU434" i="35"/>
  <c r="AX438" i="35"/>
  <c r="AV438" i="35"/>
  <c r="AY438" i="35"/>
  <c r="AW438" i="35"/>
  <c r="AU438" i="35"/>
  <c r="AX442" i="35"/>
  <c r="AW442" i="35"/>
  <c r="AV442" i="35"/>
  <c r="AU442" i="35"/>
  <c r="AX446" i="35"/>
  <c r="AV446" i="35"/>
  <c r="AY446" i="35"/>
  <c r="AW446" i="35"/>
  <c r="AU446" i="35"/>
  <c r="AX450" i="35"/>
  <c r="AW450" i="35"/>
  <c r="AV450" i="35"/>
  <c r="AY450" i="35"/>
  <c r="AU450" i="35"/>
  <c r="AX454" i="35"/>
  <c r="AV454" i="35"/>
  <c r="AY454" i="35"/>
  <c r="AW454" i="35"/>
  <c r="AX458" i="35"/>
  <c r="AW458" i="35"/>
  <c r="AV458" i="35"/>
  <c r="AY458" i="35"/>
  <c r="AU458" i="35"/>
  <c r="AW462" i="35"/>
  <c r="AV462" i="35"/>
  <c r="AU462" i="35"/>
  <c r="AY462" i="35"/>
  <c r="AX462" i="35"/>
  <c r="AY466" i="35"/>
  <c r="AW466" i="35"/>
  <c r="AU466" i="35"/>
  <c r="AX466" i="35"/>
  <c r="AV466" i="35"/>
  <c r="AW470" i="35"/>
  <c r="AV470" i="35"/>
  <c r="AU470" i="35"/>
  <c r="AX470" i="35"/>
  <c r="AY474" i="35"/>
  <c r="AU474" i="35"/>
  <c r="AX474" i="35"/>
  <c r="AW474" i="35"/>
  <c r="AV474" i="35"/>
  <c r="AW478" i="35"/>
  <c r="AV478" i="35"/>
  <c r="AU478" i="35"/>
  <c r="AY478" i="35"/>
  <c r="AX478" i="35"/>
  <c r="AY482" i="35"/>
  <c r="AX482" i="35"/>
  <c r="AW482" i="35"/>
  <c r="AV482" i="35"/>
  <c r="AU482" i="35"/>
  <c r="AW486" i="35"/>
  <c r="AV486" i="35"/>
  <c r="AU486" i="35"/>
  <c r="AX486" i="35"/>
  <c r="AY486" i="35"/>
  <c r="AY490" i="35"/>
  <c r="AX490" i="35"/>
  <c r="AW490" i="35"/>
  <c r="AV490" i="35"/>
  <c r="AU490" i="35"/>
  <c r="AY494" i="35"/>
  <c r="AW494" i="35"/>
  <c r="AV494" i="35"/>
  <c r="AU494" i="35"/>
  <c r="AX494" i="35"/>
  <c r="AW498" i="35"/>
  <c r="AU498" i="35"/>
  <c r="AY498" i="35"/>
  <c r="AX498" i="35"/>
  <c r="AV498" i="35"/>
  <c r="AU502" i="35"/>
  <c r="AY502" i="35"/>
  <c r="AX502" i="35"/>
  <c r="AW502" i="35"/>
  <c r="AV502" i="35"/>
  <c r="AY506" i="35"/>
  <c r="AV506" i="35"/>
  <c r="AX506" i="35"/>
  <c r="AU506" i="35"/>
  <c r="AW506" i="35"/>
  <c r="AW510" i="35"/>
  <c r="AU510" i="35"/>
  <c r="AY510" i="35"/>
  <c r="AV510" i="35"/>
  <c r="AX510" i="35"/>
  <c r="AY514" i="35"/>
  <c r="AX514" i="35"/>
  <c r="AW514" i="35"/>
  <c r="AV514" i="35"/>
  <c r="AU514" i="35"/>
  <c r="AX519" i="35"/>
  <c r="AW519" i="35"/>
  <c r="AV519" i="35"/>
  <c r="AU519" i="35"/>
  <c r="AY519" i="35"/>
  <c r="AV525" i="35"/>
  <c r="AY525" i="35"/>
  <c r="AX525" i="35"/>
  <c r="AW525" i="35"/>
  <c r="AU525" i="35"/>
  <c r="AY538" i="35"/>
  <c r="AU538" i="35"/>
  <c r="AX538" i="35"/>
  <c r="AW538" i="35"/>
  <c r="AV538" i="35"/>
  <c r="AY546" i="35"/>
  <c r="AU546" i="35"/>
  <c r="AX546" i="35"/>
  <c r="AW546" i="35"/>
  <c r="AV546" i="35"/>
  <c r="AY554" i="35"/>
  <c r="AU554" i="35"/>
  <c r="AX554" i="35"/>
  <c r="AW554" i="35"/>
  <c r="AV554" i="35"/>
  <c r="AY562" i="35"/>
  <c r="AU562" i="35"/>
  <c r="AX562" i="35"/>
  <c r="AW562" i="35"/>
  <c r="AV562" i="35"/>
  <c r="AY570" i="35"/>
  <c r="AU570" i="35"/>
  <c r="AX570" i="35"/>
  <c r="AW570" i="35"/>
  <c r="AV570" i="35"/>
  <c r="AV578" i="35"/>
  <c r="AU578" i="35"/>
  <c r="AX578" i="35"/>
  <c r="AY578" i="35"/>
  <c r="AW578" i="35"/>
  <c r="AX586" i="35"/>
  <c r="AV586" i="35"/>
  <c r="AU586" i="35"/>
  <c r="AY586" i="35"/>
  <c r="AW586" i="35"/>
  <c r="AX594" i="35"/>
  <c r="AV594" i="35"/>
  <c r="AU594" i="35"/>
  <c r="AY594" i="35"/>
  <c r="AW594" i="35"/>
  <c r="AX602" i="35"/>
  <c r="AV602" i="35"/>
  <c r="AU602" i="35"/>
  <c r="AY602" i="35"/>
  <c r="AW602" i="35"/>
  <c r="AX610" i="35"/>
  <c r="AV610" i="35"/>
  <c r="AU610" i="35"/>
  <c r="AY610" i="35"/>
  <c r="AW610" i="35"/>
  <c r="AV361" i="35"/>
  <c r="AW366" i="35"/>
  <c r="AY402" i="35"/>
  <c r="AV429" i="35"/>
  <c r="AY373" i="35"/>
  <c r="AX373" i="35"/>
  <c r="AW373" i="35"/>
  <c r="AV373" i="35"/>
  <c r="AU373" i="35"/>
  <c r="AY397" i="35"/>
  <c r="AX397" i="35"/>
  <c r="AW397" i="35"/>
  <c r="AV397" i="35"/>
  <c r="AU417" i="35"/>
  <c r="AY417" i="35"/>
  <c r="AX417" i="35"/>
  <c r="AW417" i="35"/>
  <c r="AV526" i="35"/>
  <c r="AU526" i="35"/>
  <c r="AY526" i="35"/>
  <c r="AX526" i="35"/>
  <c r="AW526" i="35"/>
  <c r="AX532" i="35"/>
  <c r="AW532" i="35"/>
  <c r="AY532" i="35"/>
  <c r="AV532" i="35"/>
  <c r="AU532" i="35"/>
  <c r="AV545" i="35"/>
  <c r="AY545" i="35"/>
  <c r="AX545" i="35"/>
  <c r="AW545" i="35"/>
  <c r="AU545" i="35"/>
  <c r="AV553" i="35"/>
  <c r="AY553" i="35"/>
  <c r="AX553" i="35"/>
  <c r="AW553" i="35"/>
  <c r="AU553" i="35"/>
  <c r="AV561" i="35"/>
  <c r="AY561" i="35"/>
  <c r="AX561" i="35"/>
  <c r="AW561" i="35"/>
  <c r="AU561" i="35"/>
  <c r="AV569" i="35"/>
  <c r="AY569" i="35"/>
  <c r="AX569" i="35"/>
  <c r="AW569" i="35"/>
  <c r="AU569" i="35"/>
  <c r="AW577" i="35"/>
  <c r="AV577" i="35"/>
  <c r="AU577" i="35"/>
  <c r="AY577" i="35"/>
  <c r="AX577" i="35"/>
  <c r="AY585" i="35"/>
  <c r="AW585" i="35"/>
  <c r="AV585" i="35"/>
  <c r="AU585" i="35"/>
  <c r="AX585" i="35"/>
  <c r="AY601" i="35"/>
  <c r="AW601" i="35"/>
  <c r="AV601" i="35"/>
  <c r="AU601" i="35"/>
  <c r="AX601" i="35"/>
  <c r="AU611" i="35"/>
  <c r="AY611" i="35"/>
  <c r="AX611" i="35"/>
  <c r="AW611" i="35"/>
  <c r="AV611" i="35"/>
  <c r="AU360" i="35"/>
  <c r="AX361" i="35"/>
  <c r="AW390" i="35"/>
  <c r="AU398" i="35"/>
  <c r="AV441" i="35"/>
  <c r="AU363" i="35"/>
  <c r="AY363" i="35"/>
  <c r="AX363" i="35"/>
  <c r="AW363" i="35"/>
  <c r="AU371" i="35"/>
  <c r="AY371" i="35"/>
  <c r="AX371" i="35"/>
  <c r="AW371" i="35"/>
  <c r="AY379" i="35"/>
  <c r="AU379" i="35"/>
  <c r="AX379" i="35"/>
  <c r="AW379" i="35"/>
  <c r="AW383" i="35"/>
  <c r="AV383" i="35"/>
  <c r="AU383" i="35"/>
  <c r="AX383" i="35"/>
  <c r="AY387" i="35"/>
  <c r="AX387" i="35"/>
  <c r="AW387" i="35"/>
  <c r="AV387" i="35"/>
  <c r="AU387" i="35"/>
  <c r="AW391" i="35"/>
  <c r="AV391" i="35"/>
  <c r="AU391" i="35"/>
  <c r="AY391" i="35"/>
  <c r="AX391" i="35"/>
  <c r="AY395" i="35"/>
  <c r="AW395" i="35"/>
  <c r="AV395" i="35"/>
  <c r="AU395" i="35"/>
  <c r="AY403" i="35"/>
  <c r="AU403" i="35"/>
  <c r="AX403" i="35"/>
  <c r="AW403" i="35"/>
  <c r="AW407" i="35"/>
  <c r="AV407" i="35"/>
  <c r="AU407" i="35"/>
  <c r="AY407" i="35"/>
  <c r="AX407" i="35"/>
  <c r="AY411" i="35"/>
  <c r="AX411" i="35"/>
  <c r="AW411" i="35"/>
  <c r="AV411" i="35"/>
  <c r="AU411" i="35"/>
  <c r="AW415" i="35"/>
  <c r="AV415" i="35"/>
  <c r="AU415" i="35"/>
  <c r="AX415" i="35"/>
  <c r="AY419" i="35"/>
  <c r="AX419" i="35"/>
  <c r="AW419" i="35"/>
  <c r="AV419" i="35"/>
  <c r="AU419" i="35"/>
  <c r="AW423" i="35"/>
  <c r="AV423" i="35"/>
  <c r="AU423" i="35"/>
  <c r="AY423" i="35"/>
  <c r="AX423" i="35"/>
  <c r="AW427" i="35"/>
  <c r="AU427" i="35"/>
  <c r="AY427" i="35"/>
  <c r="AX427" i="35"/>
  <c r="AV427" i="35"/>
  <c r="AY431" i="35"/>
  <c r="AW431" i="35"/>
  <c r="AV431" i="35"/>
  <c r="AU431" i="35"/>
  <c r="AX431" i="35"/>
  <c r="AW435" i="35"/>
  <c r="AU435" i="35"/>
  <c r="AY435" i="35"/>
  <c r="AX435" i="35"/>
  <c r="AY439" i="35"/>
  <c r="AW439" i="35"/>
  <c r="AV439" i="35"/>
  <c r="AU439" i="35"/>
  <c r="AX439" i="35"/>
  <c r="AW443" i="35"/>
  <c r="AU443" i="35"/>
  <c r="AY443" i="35"/>
  <c r="AX443" i="35"/>
  <c r="AV443" i="35"/>
  <c r="AY447" i="35"/>
  <c r="AW447" i="35"/>
  <c r="AV447" i="35"/>
  <c r="AU447" i="35"/>
  <c r="AX447" i="35"/>
  <c r="AW451" i="35"/>
  <c r="AU451" i="35"/>
  <c r="AY451" i="35"/>
  <c r="AX451" i="35"/>
  <c r="AV451" i="35"/>
  <c r="AY455" i="35"/>
  <c r="AW455" i="35"/>
  <c r="AV455" i="35"/>
  <c r="AU455" i="35"/>
  <c r="AV459" i="35"/>
  <c r="AU459" i="35"/>
  <c r="AX459" i="35"/>
  <c r="AY459" i="35"/>
  <c r="AW459" i="35"/>
  <c r="AY463" i="35"/>
  <c r="AX463" i="35"/>
  <c r="AW463" i="35"/>
  <c r="AV463" i="35"/>
  <c r="AU463" i="35"/>
  <c r="AV467" i="35"/>
  <c r="AU467" i="35"/>
  <c r="AX467" i="35"/>
  <c r="AY467" i="35"/>
  <c r="AY471" i="35"/>
  <c r="AX471" i="35"/>
  <c r="AW471" i="35"/>
  <c r="AU471" i="35"/>
  <c r="AV471" i="35"/>
  <c r="AV475" i="35"/>
  <c r="AU475" i="35"/>
  <c r="AY475" i="35"/>
  <c r="AX475" i="35"/>
  <c r="AW475" i="35"/>
  <c r="AY479" i="35"/>
  <c r="AX479" i="35"/>
  <c r="AW479" i="35"/>
  <c r="AV479" i="35"/>
  <c r="AU479" i="35"/>
  <c r="AV483" i="35"/>
  <c r="AU483" i="35"/>
  <c r="AY483" i="35"/>
  <c r="AX483" i="35"/>
  <c r="AW483" i="35"/>
  <c r="AY487" i="35"/>
  <c r="AX487" i="35"/>
  <c r="AU487" i="35"/>
  <c r="AW487" i="35"/>
  <c r="AV487" i="35"/>
  <c r="AV491" i="35"/>
  <c r="AU491" i="35"/>
  <c r="AY491" i="35"/>
  <c r="AX491" i="35"/>
  <c r="AW491" i="35"/>
  <c r="AV495" i="35"/>
  <c r="AY495" i="35"/>
  <c r="AX495" i="35"/>
  <c r="AW495" i="35"/>
  <c r="AU495" i="35"/>
  <c r="AX499" i="35"/>
  <c r="AV499" i="35"/>
  <c r="AU499" i="35"/>
  <c r="AY499" i="35"/>
  <c r="AW499" i="35"/>
  <c r="AX503" i="35"/>
  <c r="AU503" i="35"/>
  <c r="AY503" i="35"/>
  <c r="AV503" i="35"/>
  <c r="AW503" i="35"/>
  <c r="AY507" i="35"/>
  <c r="AX507" i="35"/>
  <c r="AV507" i="35"/>
  <c r="AU507" i="35"/>
  <c r="AX511" i="35"/>
  <c r="AW511" i="35"/>
  <c r="AV511" i="35"/>
  <c r="AU511" i="35"/>
  <c r="AY511" i="35"/>
  <c r="AV515" i="35"/>
  <c r="AY515" i="35"/>
  <c r="AU515" i="35"/>
  <c r="AX515" i="35"/>
  <c r="AW515" i="35"/>
  <c r="AU520" i="35"/>
  <c r="AY520" i="35"/>
  <c r="AX520" i="35"/>
  <c r="AW520" i="35"/>
  <c r="AV520" i="35"/>
  <c r="AY527" i="35"/>
  <c r="AX527" i="35"/>
  <c r="AW527" i="35"/>
  <c r="AV527" i="35"/>
  <c r="AU527" i="35"/>
  <c r="AV533" i="35"/>
  <c r="AX533" i="35"/>
  <c r="AW533" i="35"/>
  <c r="AU533" i="35"/>
  <c r="AY533" i="35"/>
  <c r="AW544" i="35"/>
  <c r="AX544" i="35"/>
  <c r="AV544" i="35"/>
  <c r="AU544" i="35"/>
  <c r="AY544" i="35"/>
  <c r="AW552" i="35"/>
  <c r="AX552" i="35"/>
  <c r="AV552" i="35"/>
  <c r="AU552" i="35"/>
  <c r="AY552" i="35"/>
  <c r="AW560" i="35"/>
  <c r="AX560" i="35"/>
  <c r="AV560" i="35"/>
  <c r="AU560" i="35"/>
  <c r="AY560" i="35"/>
  <c r="AW568" i="35"/>
  <c r="AX568" i="35"/>
  <c r="AV568" i="35"/>
  <c r="AU568" i="35"/>
  <c r="AY568" i="35"/>
  <c r="AX576" i="35"/>
  <c r="AW576" i="35"/>
  <c r="AV576" i="35"/>
  <c r="AY576" i="35"/>
  <c r="AU576" i="35"/>
  <c r="AX584" i="35"/>
  <c r="AW584" i="35"/>
  <c r="AV584" i="35"/>
  <c r="AU584" i="35"/>
  <c r="AY584" i="35"/>
  <c r="AX592" i="35"/>
  <c r="AW592" i="35"/>
  <c r="AV592" i="35"/>
  <c r="AU592" i="35"/>
  <c r="AY592" i="35"/>
  <c r="AX600" i="35"/>
  <c r="AW600" i="35"/>
  <c r="AV600" i="35"/>
  <c r="AU600" i="35"/>
  <c r="AY600" i="35"/>
  <c r="AX608" i="35"/>
  <c r="AW608" i="35"/>
  <c r="AV608" i="35"/>
  <c r="AU608" i="35"/>
  <c r="AY608" i="35"/>
  <c r="AW374" i="35"/>
  <c r="AY382" i="35"/>
  <c r="AY415" i="35"/>
  <c r="AV417" i="35"/>
  <c r="AX455" i="35"/>
  <c r="AX521" i="35"/>
  <c r="AV521" i="35"/>
  <c r="AU521" i="35"/>
  <c r="AY521" i="35"/>
  <c r="AW521" i="35"/>
  <c r="AV534" i="35"/>
  <c r="AU534" i="35"/>
  <c r="AY534" i="35"/>
  <c r="AX534" i="35"/>
  <c r="AW534" i="35"/>
  <c r="AY613" i="35"/>
  <c r="AW613" i="35"/>
  <c r="AV613" i="35"/>
  <c r="AU613" i="35"/>
  <c r="AX613" i="35"/>
  <c r="AU358" i="35"/>
  <c r="AV363" i="35"/>
  <c r="AX409" i="35"/>
  <c r="AX360" i="35"/>
  <c r="AW360" i="35"/>
  <c r="AV360" i="35"/>
  <c r="AX364" i="35"/>
  <c r="AW364" i="35"/>
  <c r="AV364" i="35"/>
  <c r="AU364" i="35"/>
  <c r="AY368" i="35"/>
  <c r="AX368" i="35"/>
  <c r="AW368" i="35"/>
  <c r="AV368" i="35"/>
  <c r="AX372" i="35"/>
  <c r="AW372" i="35"/>
  <c r="AV372" i="35"/>
  <c r="AU372" i="35"/>
  <c r="AY376" i="35"/>
  <c r="AX376" i="35"/>
  <c r="AW376" i="35"/>
  <c r="AV376" i="35"/>
  <c r="AY384" i="35"/>
  <c r="AX384" i="35"/>
  <c r="AU384" i="35"/>
  <c r="AW384" i="35"/>
  <c r="AV388" i="35"/>
  <c r="AU388" i="35"/>
  <c r="AY388" i="35"/>
  <c r="AX388" i="35"/>
  <c r="AW388" i="35"/>
  <c r="AY392" i="35"/>
  <c r="AX392" i="35"/>
  <c r="AW392" i="35"/>
  <c r="AV392" i="35"/>
  <c r="AU392" i="35"/>
  <c r="AV396" i="35"/>
  <c r="AU396" i="35"/>
  <c r="AX396" i="35"/>
  <c r="AW396" i="35"/>
  <c r="AY400" i="35"/>
  <c r="AX400" i="35"/>
  <c r="AW400" i="35"/>
  <c r="AV400" i="35"/>
  <c r="AU400" i="35"/>
  <c r="AV404" i="35"/>
  <c r="AU404" i="35"/>
  <c r="AY404" i="35"/>
  <c r="AX404" i="35"/>
  <c r="AY408" i="35"/>
  <c r="AX408" i="35"/>
  <c r="AW408" i="35"/>
  <c r="AV408" i="35"/>
  <c r="AU408" i="35"/>
  <c r="AY416" i="35"/>
  <c r="AX416" i="35"/>
  <c r="AU416" i="35"/>
  <c r="AW416" i="35"/>
  <c r="AV420" i="35"/>
  <c r="AU420" i="35"/>
  <c r="AY420" i="35"/>
  <c r="AX420" i="35"/>
  <c r="AW420" i="35"/>
  <c r="AY424" i="35"/>
  <c r="AX424" i="35"/>
  <c r="AW424" i="35"/>
  <c r="AV424" i="35"/>
  <c r="AU424" i="35"/>
  <c r="AX428" i="35"/>
  <c r="AV428" i="35"/>
  <c r="AU428" i="35"/>
  <c r="AY428" i="35"/>
  <c r="AV432" i="35"/>
  <c r="AY432" i="35"/>
  <c r="AX432" i="35"/>
  <c r="AW432" i="35"/>
  <c r="AU432" i="35"/>
  <c r="AX436" i="35"/>
  <c r="AV436" i="35"/>
  <c r="AU436" i="35"/>
  <c r="AY436" i="35"/>
  <c r="AW436" i="35"/>
  <c r="AV440" i="35"/>
  <c r="AY440" i="35"/>
  <c r="AX440" i="35"/>
  <c r="AW440" i="35"/>
  <c r="AU440" i="35"/>
  <c r="AX444" i="35"/>
  <c r="AV444" i="35"/>
  <c r="AU444" i="35"/>
  <c r="AY444" i="35"/>
  <c r="AW444" i="35"/>
  <c r="AV448" i="35"/>
  <c r="AY448" i="35"/>
  <c r="AX448" i="35"/>
  <c r="AU448" i="35"/>
  <c r="AX452" i="35"/>
  <c r="AV452" i="35"/>
  <c r="AU452" i="35"/>
  <c r="AY452" i="35"/>
  <c r="AW452" i="35"/>
  <c r="AV456" i="35"/>
  <c r="AY456" i="35"/>
  <c r="AX456" i="35"/>
  <c r="AW456" i="35"/>
  <c r="AU456" i="35"/>
  <c r="AY460" i="35"/>
  <c r="AX460" i="35"/>
  <c r="AW460" i="35"/>
  <c r="AV460" i="35"/>
  <c r="AU460" i="35"/>
  <c r="AU464" i="35"/>
  <c r="AY464" i="35"/>
  <c r="AW464" i="35"/>
  <c r="AV464" i="35"/>
  <c r="AX464" i="35"/>
  <c r="AY468" i="35"/>
  <c r="AX468" i="35"/>
  <c r="AW468" i="35"/>
  <c r="AV468" i="35"/>
  <c r="AU468" i="35"/>
  <c r="AU472" i="35"/>
  <c r="AY472" i="35"/>
  <c r="AW472" i="35"/>
  <c r="AX472" i="35"/>
  <c r="AV472" i="35"/>
  <c r="AY476" i="35"/>
  <c r="AX476" i="35"/>
  <c r="AW476" i="35"/>
  <c r="AV476" i="35"/>
  <c r="AU476" i="35"/>
  <c r="AU480" i="35"/>
  <c r="AW480" i="35"/>
  <c r="AV480" i="35"/>
  <c r="AY480" i="35"/>
  <c r="AX480" i="35"/>
  <c r="AY484" i="35"/>
  <c r="AX484" i="35"/>
  <c r="AW484" i="35"/>
  <c r="AV484" i="35"/>
  <c r="AU484" i="35"/>
  <c r="AU488" i="35"/>
  <c r="AY488" i="35"/>
  <c r="AX488" i="35"/>
  <c r="AW488" i="35"/>
  <c r="AV488" i="35"/>
  <c r="AY492" i="35"/>
  <c r="AX492" i="35"/>
  <c r="AW492" i="35"/>
  <c r="AV492" i="35"/>
  <c r="AU492" i="35"/>
  <c r="AY496" i="35"/>
  <c r="AW496" i="35"/>
  <c r="AU496" i="35"/>
  <c r="AX496" i="35"/>
  <c r="AV496" i="35"/>
  <c r="AU500" i="35"/>
  <c r="AY500" i="35"/>
  <c r="AX500" i="35"/>
  <c r="AW500" i="35"/>
  <c r="AV500" i="35"/>
  <c r="AX504" i="35"/>
  <c r="AV504" i="35"/>
  <c r="AY504" i="35"/>
  <c r="AW504" i="35"/>
  <c r="AU504" i="35"/>
  <c r="AY508" i="35"/>
  <c r="AW508" i="35"/>
  <c r="AU508" i="35"/>
  <c r="AX508" i="35"/>
  <c r="AV508" i="35"/>
  <c r="AU512" i="35"/>
  <c r="AY512" i="35"/>
  <c r="AX512" i="35"/>
  <c r="AV512" i="35"/>
  <c r="AW512" i="35"/>
  <c r="AY516" i="35"/>
  <c r="AW516" i="35"/>
  <c r="AV516" i="35"/>
  <c r="AU516" i="35"/>
  <c r="AX516" i="35"/>
  <c r="AY522" i="35"/>
  <c r="AX522" i="35"/>
  <c r="AW522" i="35"/>
  <c r="AV522" i="35"/>
  <c r="AU522" i="35"/>
  <c r="AW528" i="35"/>
  <c r="AY528" i="35"/>
  <c r="AV528" i="35"/>
  <c r="AU528" i="35"/>
  <c r="AX528" i="35"/>
  <c r="AY535" i="35"/>
  <c r="AX535" i="35"/>
  <c r="AV535" i="35"/>
  <c r="AU535" i="35"/>
  <c r="AW535" i="35"/>
  <c r="AV542" i="35"/>
  <c r="AU542" i="35"/>
  <c r="AY542" i="35"/>
  <c r="AW542" i="35"/>
  <c r="AX542" i="35"/>
  <c r="AV550" i="35"/>
  <c r="AU550" i="35"/>
  <c r="AY550" i="35"/>
  <c r="AX550" i="35"/>
  <c r="AW550" i="35"/>
  <c r="AV558" i="35"/>
  <c r="AU558" i="35"/>
  <c r="AY558" i="35"/>
  <c r="AW558" i="35"/>
  <c r="AX558" i="35"/>
  <c r="AV566" i="35"/>
  <c r="AU566" i="35"/>
  <c r="AY566" i="35"/>
  <c r="AW566" i="35"/>
  <c r="AX566" i="35"/>
  <c r="AV574" i="35"/>
  <c r="AU574" i="35"/>
  <c r="AY574" i="35"/>
  <c r="AW574" i="35"/>
  <c r="AX574" i="35"/>
  <c r="AY582" i="35"/>
  <c r="AX582" i="35"/>
  <c r="AU582" i="35"/>
  <c r="AW582" i="35"/>
  <c r="AV582" i="35"/>
  <c r="AV614" i="35"/>
  <c r="AY614" i="35"/>
  <c r="AX614" i="35"/>
  <c r="AU614" i="35"/>
  <c r="AW614" i="35"/>
  <c r="AW358" i="35"/>
  <c r="AV403" i="35"/>
  <c r="AW428" i="35"/>
  <c r="AY430" i="35"/>
  <c r="AY470" i="35"/>
  <c r="AW507" i="35"/>
  <c r="AY517" i="35"/>
  <c r="AX517" i="35"/>
  <c r="AW517" i="35"/>
  <c r="AV517" i="35"/>
  <c r="AU517" i="35"/>
  <c r="AV523" i="35"/>
  <c r="AY523" i="35"/>
  <c r="AX523" i="35"/>
  <c r="AU523" i="35"/>
  <c r="AW523" i="35"/>
  <c r="AW529" i="35"/>
  <c r="AV529" i="35"/>
  <c r="AX529" i="35"/>
  <c r="AY529" i="35"/>
  <c r="AU529" i="35"/>
  <c r="AY615" i="35"/>
  <c r="AW615" i="35"/>
  <c r="AU615" i="35"/>
  <c r="AX615" i="35"/>
  <c r="AV615" i="35"/>
  <c r="AX369" i="35"/>
  <c r="AV371" i="35"/>
  <c r="AX395" i="35"/>
  <c r="AU397" i="35"/>
  <c r="AW422" i="35"/>
  <c r="AV435" i="35"/>
  <c r="AY442" i="35"/>
  <c r="AU543" i="35"/>
  <c r="AX543" i="35"/>
  <c r="AY543" i="35"/>
  <c r="AV543" i="35"/>
  <c r="AU551" i="35"/>
  <c r="AX551" i="35"/>
  <c r="AY551" i="35"/>
  <c r="AV551" i="35"/>
  <c r="AW551" i="35"/>
  <c r="AU559" i="35"/>
  <c r="AX559" i="35"/>
  <c r="AY559" i="35"/>
  <c r="AV559" i="35"/>
  <c r="AW559" i="35"/>
  <c r="AU567" i="35"/>
  <c r="AX567" i="35"/>
  <c r="AY567" i="35"/>
  <c r="AV567" i="35"/>
  <c r="AW567" i="35"/>
  <c r="AY575" i="35"/>
  <c r="AX575" i="35"/>
  <c r="AU575" i="35"/>
  <c r="AV575" i="35"/>
  <c r="AW575" i="35"/>
  <c r="AY583" i="35"/>
  <c r="AX583" i="35"/>
  <c r="AW583" i="35"/>
  <c r="AV583" i="35"/>
  <c r="AU583" i="35"/>
  <c r="AY591" i="35"/>
  <c r="AX591" i="35"/>
  <c r="AW591" i="35"/>
  <c r="AV591" i="35"/>
  <c r="AU591" i="35"/>
  <c r="AY599" i="35"/>
  <c r="AX599" i="35"/>
  <c r="AW599" i="35"/>
  <c r="AV599" i="35"/>
  <c r="AU599" i="35"/>
  <c r="AY607" i="35"/>
  <c r="AX607" i="35"/>
  <c r="AW607" i="35"/>
  <c r="AV607" i="35"/>
  <c r="AY590" i="35"/>
  <c r="AX590" i="35"/>
  <c r="AU590" i="35"/>
  <c r="AV590" i="35"/>
  <c r="AW590" i="35"/>
  <c r="AY598" i="35"/>
  <c r="AX598" i="35"/>
  <c r="AU598" i="35"/>
  <c r="AW598" i="35"/>
  <c r="AV598" i="35"/>
  <c r="AY606" i="35"/>
  <c r="AX606" i="35"/>
  <c r="AU606" i="35"/>
  <c r="AV606" i="35"/>
  <c r="AW606" i="35"/>
  <c r="AX612" i="35"/>
  <c r="AV612" i="35"/>
  <c r="AU612" i="35"/>
  <c r="AY612" i="35"/>
  <c r="AW612" i="35"/>
  <c r="AW541" i="35"/>
  <c r="AV541" i="35"/>
  <c r="AY541" i="35"/>
  <c r="AX541" i="35"/>
  <c r="AU541" i="35"/>
  <c r="AW549" i="35"/>
  <c r="AV549" i="35"/>
  <c r="AY549" i="35"/>
  <c r="AX549" i="35"/>
  <c r="AU549" i="35"/>
  <c r="AW557" i="35"/>
  <c r="AV557" i="35"/>
  <c r="AY557" i="35"/>
  <c r="AX557" i="35"/>
  <c r="AU557" i="35"/>
  <c r="AW565" i="35"/>
  <c r="AV565" i="35"/>
  <c r="AY565" i="35"/>
  <c r="AX565" i="35"/>
  <c r="AU565" i="35"/>
  <c r="AW573" i="35"/>
  <c r="AV573" i="35"/>
  <c r="AY573" i="35"/>
  <c r="AX573" i="35"/>
  <c r="AU573" i="35"/>
  <c r="AU581" i="35"/>
  <c r="AY581" i="35"/>
  <c r="AX581" i="35"/>
  <c r="AV581" i="35"/>
  <c r="AW581" i="35"/>
  <c r="AU589" i="35"/>
  <c r="AY589" i="35"/>
  <c r="AX589" i="35"/>
  <c r="AW589" i="35"/>
  <c r="AV589" i="35"/>
  <c r="AU597" i="35"/>
  <c r="AY597" i="35"/>
  <c r="AX597" i="35"/>
  <c r="AV597" i="35"/>
  <c r="AW597" i="35"/>
  <c r="AU605" i="35"/>
  <c r="AY605" i="35"/>
  <c r="AX605" i="35"/>
  <c r="AW605" i="35"/>
  <c r="AV605" i="35"/>
  <c r="AW543" i="35"/>
  <c r="AY539" i="35"/>
  <c r="AX539" i="35"/>
  <c r="AW539" i="35"/>
  <c r="AU539" i="35"/>
  <c r="AV539" i="35"/>
  <c r="AY547" i="35"/>
  <c r="AX547" i="35"/>
  <c r="AW547" i="35"/>
  <c r="AU547" i="35"/>
  <c r="AV547" i="35"/>
  <c r="AY555" i="35"/>
  <c r="AX555" i="35"/>
  <c r="AW555" i="35"/>
  <c r="AU555" i="35"/>
  <c r="AV555" i="35"/>
  <c r="AY563" i="35"/>
  <c r="AX563" i="35"/>
  <c r="AW563" i="35"/>
  <c r="AU563" i="35"/>
  <c r="AV563" i="35"/>
  <c r="AY571" i="35"/>
  <c r="AX571" i="35"/>
  <c r="AW571" i="35"/>
  <c r="AU571" i="35"/>
  <c r="AV571" i="35"/>
  <c r="AU579" i="35"/>
  <c r="AV579" i="35"/>
  <c r="AY579" i="35"/>
  <c r="AX579" i="35"/>
  <c r="AW579" i="35"/>
  <c r="AW587" i="35"/>
  <c r="AU587" i="35"/>
  <c r="AY587" i="35"/>
  <c r="AX587" i="35"/>
  <c r="AV587" i="35"/>
  <c r="AW595" i="35"/>
  <c r="AU595" i="35"/>
  <c r="AY595" i="35"/>
  <c r="AX595" i="35"/>
  <c r="AV595" i="35"/>
  <c r="AW603" i="35"/>
  <c r="AU603" i="35"/>
  <c r="AY603" i="35"/>
  <c r="AX603" i="35"/>
  <c r="AV603" i="35"/>
  <c r="AY593" i="35"/>
  <c r="AW593" i="35"/>
  <c r="AV593" i="35"/>
  <c r="AU593" i="35"/>
  <c r="AX593" i="35"/>
  <c r="AY609" i="35"/>
  <c r="AW609" i="35"/>
  <c r="AV609" i="35"/>
  <c r="AU609" i="35"/>
  <c r="AX609" i="35"/>
  <c r="AU607" i="35"/>
  <c r="AY620" i="35" a="1"/>
  <c r="AY620" i="35" s="1"/>
  <c r="AU620" i="35" a="1"/>
  <c r="AU620" i="35" s="1"/>
  <c r="AV620" i="35" a="1"/>
  <c r="AV620" i="35" s="1"/>
  <c r="AU772" i="35" l="1"/>
  <c r="AU771" i="35"/>
  <c r="AW772" i="35"/>
  <c r="AW771" i="35"/>
  <c r="AX772" i="35"/>
  <c r="AX771" i="35"/>
  <c r="AY771" i="35"/>
  <c r="AY772" i="35"/>
  <c r="AV772" i="35"/>
  <c r="AV771" i="35"/>
  <c r="AV625" i="35"/>
  <c r="AV628" i="35"/>
  <c r="AV624" i="35"/>
  <c r="AV623" i="35"/>
  <c r="AV627" i="35"/>
  <c r="AV626" i="35"/>
  <c r="AU625" i="35"/>
  <c r="AU626" i="35"/>
  <c r="AU628" i="35"/>
  <c r="AU624" i="35"/>
  <c r="AU623" i="35"/>
  <c r="AU627" i="35"/>
  <c r="AY626" i="35"/>
  <c r="AY624" i="35"/>
  <c r="AY625" i="35"/>
  <c r="AY628" i="35"/>
  <c r="AY627" i="35"/>
  <c r="AY623" i="35"/>
  <c r="AW628" i="35"/>
  <c r="AW623" i="35"/>
  <c r="AW627" i="35"/>
  <c r="AW625" i="35"/>
  <c r="AW626" i="35"/>
  <c r="AW624" i="35"/>
  <c r="AX623" i="35"/>
  <c r="AX626" i="35"/>
  <c r="AX628" i="35"/>
  <c r="AX625" i="35"/>
  <c r="AX624" i="35"/>
  <c r="AX627" i="35"/>
  <c r="AY36" i="22" l="1"/>
  <c r="AX36" i="22"/>
  <c r="AW36" i="22"/>
  <c r="AV36" i="22"/>
  <c r="AU36" i="22"/>
  <c r="AY31" i="22"/>
  <c r="AX31" i="22"/>
  <c r="AW31" i="22"/>
  <c r="AV31" i="22"/>
  <c r="AU31" i="22"/>
  <c r="AT98" i="15"/>
  <c r="AS98" i="15"/>
  <c r="AR98" i="15"/>
  <c r="AQ98" i="15"/>
  <c r="AP98" i="15"/>
  <c r="AO98" i="15"/>
  <c r="AN98" i="15"/>
  <c r="AM98" i="15"/>
  <c r="AL98" i="15"/>
  <c r="AK98" i="15"/>
  <c r="AJ98" i="15"/>
  <c r="AI98" i="15"/>
  <c r="AH98" i="15"/>
  <c r="AT97" i="15"/>
  <c r="AS97" i="15"/>
  <c r="AR97" i="15"/>
  <c r="AQ97" i="15"/>
  <c r="AP97" i="15"/>
  <c r="AO97" i="15"/>
  <c r="AN97" i="15"/>
  <c r="AM97" i="15"/>
  <c r="AL97" i="15"/>
  <c r="AK97" i="15"/>
  <c r="AJ97" i="15"/>
  <c r="AI97" i="15"/>
  <c r="AH97" i="15"/>
  <c r="AT96" i="15"/>
  <c r="AS96" i="15"/>
  <c r="AR96" i="15"/>
  <c r="AQ96" i="15"/>
  <c r="AP96" i="15"/>
  <c r="AO96" i="15"/>
  <c r="AN96" i="15"/>
  <c r="AM96" i="15"/>
  <c r="AL96" i="15"/>
  <c r="AK96" i="15"/>
  <c r="AJ96" i="15"/>
  <c r="AI96" i="15"/>
  <c r="AH96" i="15"/>
  <c r="AT95" i="15"/>
  <c r="AS95" i="15"/>
  <c r="AR95" i="15"/>
  <c r="AQ95" i="15"/>
  <c r="AP95" i="15"/>
  <c r="AO95" i="15"/>
  <c r="AN95" i="15"/>
  <c r="AM95" i="15"/>
  <c r="AL95" i="15"/>
  <c r="AK95" i="15"/>
  <c r="AJ95" i="15"/>
  <c r="AI95" i="15"/>
  <c r="AH95" i="15"/>
  <c r="AT94" i="15"/>
  <c r="AS94" i="15"/>
  <c r="AR94" i="15"/>
  <c r="AQ94" i="15"/>
  <c r="AP94" i="15"/>
  <c r="AO94" i="15"/>
  <c r="AN94" i="15"/>
  <c r="AM94" i="15"/>
  <c r="AL94" i="15"/>
  <c r="AK94" i="15"/>
  <c r="AJ94" i="15"/>
  <c r="AI94" i="15"/>
  <c r="AH94" i="15"/>
  <c r="AT93" i="15"/>
  <c r="AS93" i="15"/>
  <c r="AR93" i="15"/>
  <c r="AQ93" i="15"/>
  <c r="AP93" i="15"/>
  <c r="AO93" i="15"/>
  <c r="AN93" i="15"/>
  <c r="AM93" i="15"/>
  <c r="AL93" i="15"/>
  <c r="AK93" i="15"/>
  <c r="AJ93" i="15"/>
  <c r="AI93" i="15"/>
  <c r="AH93" i="15"/>
  <c r="AT92" i="15"/>
  <c r="AS92" i="15"/>
  <c r="AR92" i="15"/>
  <c r="AQ92" i="15"/>
  <c r="AP92" i="15"/>
  <c r="AO92" i="15"/>
  <c r="AN92" i="15"/>
  <c r="AM92" i="15"/>
  <c r="AL92" i="15"/>
  <c r="AK92" i="15"/>
  <c r="AJ92" i="15"/>
  <c r="AI92" i="15"/>
  <c r="AH92" i="15"/>
  <c r="AT91" i="15"/>
  <c r="AS91" i="15"/>
  <c r="AR91" i="15"/>
  <c r="AQ91" i="15"/>
  <c r="AP91" i="15"/>
  <c r="AO91" i="15"/>
  <c r="AN91" i="15"/>
  <c r="AM91" i="15"/>
  <c r="AL91" i="15"/>
  <c r="AK91" i="15"/>
  <c r="AJ91" i="15"/>
  <c r="AI91" i="15"/>
  <c r="AH91" i="15"/>
  <c r="AT90" i="15"/>
  <c r="AS90" i="15"/>
  <c r="AR90" i="15"/>
  <c r="AQ90" i="15"/>
  <c r="AP90" i="15"/>
  <c r="AO90" i="15"/>
  <c r="AN90" i="15"/>
  <c r="AM90" i="15"/>
  <c r="AL90" i="15"/>
  <c r="AK90" i="15"/>
  <c r="AJ90" i="15"/>
  <c r="AI90" i="15"/>
  <c r="AH90" i="15"/>
  <c r="AT89" i="15"/>
  <c r="AS89" i="15"/>
  <c r="AR89" i="15"/>
  <c r="AQ89" i="15"/>
  <c r="AP89" i="15"/>
  <c r="AO89" i="15"/>
  <c r="AN89" i="15"/>
  <c r="AM89" i="15"/>
  <c r="AL89" i="15"/>
  <c r="AK89" i="15"/>
  <c r="AJ89" i="15"/>
  <c r="AI89" i="15"/>
  <c r="AH89" i="15"/>
  <c r="AT88" i="15"/>
  <c r="AS88" i="15"/>
  <c r="AR88" i="15"/>
  <c r="AQ88" i="15"/>
  <c r="AP88" i="15"/>
  <c r="AO88" i="15"/>
  <c r="AN88" i="15"/>
  <c r="AM88" i="15"/>
  <c r="AL88" i="15"/>
  <c r="AK88" i="15"/>
  <c r="AJ88" i="15"/>
  <c r="AI88" i="15"/>
  <c r="AH88" i="15"/>
  <c r="AT87" i="15"/>
  <c r="AS87" i="15"/>
  <c r="AR87" i="15"/>
  <c r="AQ87" i="15"/>
  <c r="AP87" i="15"/>
  <c r="AO87" i="15"/>
  <c r="AN87" i="15"/>
  <c r="AM87" i="15"/>
  <c r="AL87" i="15"/>
  <c r="AK87" i="15"/>
  <c r="AJ87" i="15"/>
  <c r="AI87" i="15"/>
  <c r="AH87" i="15"/>
  <c r="AT86" i="15"/>
  <c r="AS86" i="15"/>
  <c r="AR86" i="15"/>
  <c r="AQ86" i="15"/>
  <c r="AP86" i="15"/>
  <c r="AO86" i="15"/>
  <c r="AN86" i="15"/>
  <c r="AM86" i="15"/>
  <c r="AL86" i="15"/>
  <c r="AK86" i="15"/>
  <c r="AJ86" i="15"/>
  <c r="AI86" i="15"/>
  <c r="AH86" i="15"/>
  <c r="AT85" i="15"/>
  <c r="AS85" i="15"/>
  <c r="AR85" i="15"/>
  <c r="AQ85" i="15"/>
  <c r="AP85" i="15"/>
  <c r="AO85" i="15"/>
  <c r="AN85" i="15"/>
  <c r="AM85" i="15"/>
  <c r="AL85" i="15"/>
  <c r="AK85" i="15"/>
  <c r="AJ85" i="15"/>
  <c r="AI85" i="15"/>
  <c r="AH85" i="15"/>
  <c r="AT82" i="15"/>
  <c r="AS82" i="15"/>
  <c r="AR82" i="15"/>
  <c r="AQ82" i="15"/>
  <c r="AP82" i="15"/>
  <c r="AO82" i="15"/>
  <c r="AN82" i="15"/>
  <c r="AM82" i="15"/>
  <c r="AL82" i="15"/>
  <c r="AK82" i="15"/>
  <c r="AJ82" i="15"/>
  <c r="AI82" i="15"/>
  <c r="AH82" i="15"/>
  <c r="AT81" i="15"/>
  <c r="AS81" i="15"/>
  <c r="AR81" i="15"/>
  <c r="AQ81" i="15"/>
  <c r="AP81" i="15"/>
  <c r="AO81" i="15"/>
  <c r="AN81" i="15"/>
  <c r="AM81" i="15"/>
  <c r="AL81" i="15"/>
  <c r="AK81" i="15"/>
  <c r="AJ81" i="15"/>
  <c r="AI81" i="15"/>
  <c r="AH81" i="15"/>
  <c r="AT80" i="15"/>
  <c r="AS80" i="15"/>
  <c r="AR80" i="15"/>
  <c r="AQ80" i="15"/>
  <c r="AP80" i="15"/>
  <c r="AO80" i="15"/>
  <c r="AN80" i="15"/>
  <c r="AM80" i="15"/>
  <c r="AL80" i="15"/>
  <c r="AK80" i="15"/>
  <c r="AJ80" i="15"/>
  <c r="AI80" i="15"/>
  <c r="AH80" i="15"/>
  <c r="AT79" i="15"/>
  <c r="AS79" i="15"/>
  <c r="AR79" i="15"/>
  <c r="AQ79" i="15"/>
  <c r="AP79" i="15"/>
  <c r="AO79" i="15"/>
  <c r="AN79" i="15"/>
  <c r="AM79" i="15"/>
  <c r="AL79" i="15"/>
  <c r="AK79" i="15"/>
  <c r="AJ79" i="15"/>
  <c r="AI79" i="15"/>
  <c r="AH79" i="15"/>
  <c r="AT78" i="15"/>
  <c r="AS78" i="15"/>
  <c r="AR78" i="15"/>
  <c r="AQ78" i="15"/>
  <c r="AP78" i="15"/>
  <c r="AO78" i="15"/>
  <c r="AN78" i="15"/>
  <c r="AM78" i="15"/>
  <c r="AL78" i="15"/>
  <c r="AK78" i="15"/>
  <c r="AJ78" i="15"/>
  <c r="AI78" i="15"/>
  <c r="AH78" i="15"/>
  <c r="AT77" i="15"/>
  <c r="AS77" i="15"/>
  <c r="AR77" i="15"/>
  <c r="AQ77" i="15"/>
  <c r="AP77" i="15"/>
  <c r="AO77" i="15"/>
  <c r="AN77" i="15"/>
  <c r="AM77" i="15"/>
  <c r="AL77" i="15"/>
  <c r="AK77" i="15"/>
  <c r="AJ77" i="15"/>
  <c r="AI77" i="15"/>
  <c r="AH77" i="15"/>
  <c r="AT76" i="15"/>
  <c r="AS76" i="15"/>
  <c r="AR76" i="15"/>
  <c r="AQ76" i="15"/>
  <c r="AP76" i="15"/>
  <c r="AO76" i="15"/>
  <c r="AN76" i="15"/>
  <c r="AM76" i="15"/>
  <c r="AL76" i="15"/>
  <c r="AK76" i="15"/>
  <c r="AJ76" i="15"/>
  <c r="AI76" i="15"/>
  <c r="AH76" i="15"/>
  <c r="AT75" i="15"/>
  <c r="AS75" i="15"/>
  <c r="AR75" i="15"/>
  <c r="AQ75" i="15"/>
  <c r="AP75" i="15"/>
  <c r="AO75" i="15"/>
  <c r="AN75" i="15"/>
  <c r="AM75" i="15"/>
  <c r="AL75" i="15"/>
  <c r="AK75" i="15"/>
  <c r="AJ75" i="15"/>
  <c r="AI75" i="15"/>
  <c r="AH75" i="15"/>
  <c r="AT74" i="15"/>
  <c r="AS74" i="15"/>
  <c r="AR74" i="15"/>
  <c r="AQ74" i="15"/>
  <c r="AP74" i="15"/>
  <c r="AO74" i="15"/>
  <c r="AN74" i="15"/>
  <c r="AM74" i="15"/>
  <c r="AL74" i="15"/>
  <c r="AK74" i="15"/>
  <c r="AJ74" i="15"/>
  <c r="AI74" i="15"/>
  <c r="AH74" i="15"/>
  <c r="AT73" i="15"/>
  <c r="AS73" i="15"/>
  <c r="AR73" i="15"/>
  <c r="AQ73" i="15"/>
  <c r="AP73" i="15"/>
  <c r="AO73" i="15"/>
  <c r="AN73" i="15"/>
  <c r="AM73" i="15"/>
  <c r="AL73" i="15"/>
  <c r="AK73" i="15"/>
  <c r="AJ73" i="15"/>
  <c r="AI73" i="15"/>
  <c r="AH73" i="15"/>
  <c r="AT72" i="15"/>
  <c r="AS72" i="15"/>
  <c r="AR72" i="15"/>
  <c r="AQ72" i="15"/>
  <c r="AP72" i="15"/>
  <c r="AO72" i="15"/>
  <c r="AN72" i="15"/>
  <c r="AM72" i="15"/>
  <c r="AL72" i="15"/>
  <c r="AK72" i="15"/>
  <c r="AJ72" i="15"/>
  <c r="AI72" i="15"/>
  <c r="AH72" i="15"/>
  <c r="AT71" i="15"/>
  <c r="AS71" i="15"/>
  <c r="AR71" i="15"/>
  <c r="AQ71" i="15"/>
  <c r="AP71" i="15"/>
  <c r="AO71" i="15"/>
  <c r="AN71" i="15"/>
  <c r="AM71" i="15"/>
  <c r="AL71" i="15"/>
  <c r="AK71" i="15"/>
  <c r="AJ71" i="15"/>
  <c r="AI71" i="15"/>
  <c r="AH71" i="15"/>
  <c r="AT70" i="15"/>
  <c r="AS70" i="15"/>
  <c r="AR70" i="15"/>
  <c r="AQ70" i="15"/>
  <c r="AP70" i="15"/>
  <c r="AO70" i="15"/>
  <c r="AN70" i="15"/>
  <c r="AM70" i="15"/>
  <c r="AL70" i="15"/>
  <c r="AK70" i="15"/>
  <c r="AJ70" i="15"/>
  <c r="AI70" i="15"/>
  <c r="AH70" i="15"/>
  <c r="AT69" i="15"/>
  <c r="AS69" i="15"/>
  <c r="AR69" i="15"/>
  <c r="AQ69" i="15"/>
  <c r="AP69" i="15"/>
  <c r="AO69" i="15"/>
  <c r="AN69" i="15"/>
  <c r="AM69" i="15"/>
  <c r="AL69" i="15"/>
  <c r="AK69" i="15"/>
  <c r="AJ69" i="15"/>
  <c r="AI69" i="15"/>
  <c r="AH69" i="15"/>
  <c r="AL99" i="15" l="1"/>
  <c r="AL11" i="22" s="1"/>
  <c r="AL36" i="22" s="1"/>
  <c r="AK99" i="15"/>
  <c r="AK11" i="22" s="1"/>
  <c r="AK36" i="22" s="1"/>
  <c r="AN83" i="15"/>
  <c r="AN10" i="22" s="1"/>
  <c r="AJ99" i="15"/>
  <c r="AJ11" i="22" s="1"/>
  <c r="AJ36" i="22" s="1"/>
  <c r="AK83" i="15"/>
  <c r="AK10" i="22" s="1"/>
  <c r="AI99" i="15"/>
  <c r="AI11" i="22" s="1"/>
  <c r="AI36" i="22" s="1"/>
  <c r="AQ99" i="15"/>
  <c r="AQ11" i="22" s="1"/>
  <c r="AQ36" i="22" s="1"/>
  <c r="AR99" i="15"/>
  <c r="AR11" i="22" s="1"/>
  <c r="AR36" i="22" s="1"/>
  <c r="AH83" i="15"/>
  <c r="AH10" i="22" s="1"/>
  <c r="AP83" i="15"/>
  <c r="AP10" i="22" s="1"/>
  <c r="AS83" i="15"/>
  <c r="AS10" i="22" s="1"/>
  <c r="AO99" i="15"/>
  <c r="AO11" i="22" s="1"/>
  <c r="AO36" i="22" s="1"/>
  <c r="AL83" i="15"/>
  <c r="AL10" i="22" s="1"/>
  <c r="AH99" i="15"/>
  <c r="AH11" i="22" s="1"/>
  <c r="AH36" i="22" s="1"/>
  <c r="AM83" i="15"/>
  <c r="AM10" i="22" s="1"/>
  <c r="AO83" i="15"/>
  <c r="AO10" i="22" s="1"/>
  <c r="AS99" i="15"/>
  <c r="AS11" i="22" s="1"/>
  <c r="AS36" i="22" s="1"/>
  <c r="AT99" i="15"/>
  <c r="AT11" i="22" s="1"/>
  <c r="AT36" i="22" s="1"/>
  <c r="AI83" i="15"/>
  <c r="AI10" i="22" s="1"/>
  <c r="AQ83" i="15"/>
  <c r="AQ10" i="22" s="1"/>
  <c r="AM99" i="15"/>
  <c r="AM11" i="22" s="1"/>
  <c r="AM36" i="22" s="1"/>
  <c r="AJ83" i="15"/>
  <c r="AJ10" i="22" s="1"/>
  <c r="AR83" i="15"/>
  <c r="AR10" i="22" s="1"/>
  <c r="AN99" i="15"/>
  <c r="AN11" i="22" s="1"/>
  <c r="AN36" i="22" s="1"/>
  <c r="AT83" i="15"/>
  <c r="AT10" i="22" s="1"/>
  <c r="AP99" i="15"/>
  <c r="AP11" i="22" s="1"/>
  <c r="AP36" i="22" s="1"/>
  <c r="G30" i="22"/>
  <c r="AH30" i="22"/>
  <c r="BB30" i="22"/>
  <c r="BC30" i="22"/>
  <c r="G31" i="22"/>
  <c r="BB31" i="22"/>
  <c r="BC31" i="22"/>
  <c r="G32" i="22"/>
  <c r="BB32" i="22"/>
  <c r="BC32" i="22"/>
  <c r="G35" i="22"/>
  <c r="AH35" i="22"/>
  <c r="BB35" i="22"/>
  <c r="BC35" i="22"/>
  <c r="G36" i="22"/>
  <c r="BB36" i="22"/>
  <c r="BC36" i="22"/>
  <c r="G37" i="22"/>
  <c r="G11" i="8" s="1"/>
  <c r="BB37" i="22"/>
  <c r="BC37" i="22"/>
  <c r="G38" i="22"/>
  <c r="BB38" i="22"/>
  <c r="BC38" i="22"/>
  <c r="G41" i="22"/>
  <c r="BB41" i="22"/>
  <c r="BC41" i="22"/>
  <c r="D10" i="22" a="1"/>
  <c r="D11" i="22" a="1"/>
  <c r="AP31" i="22" l="1"/>
  <c r="AH31" i="22"/>
  <c r="AQ31" i="22"/>
  <c r="AL31" i="22"/>
  <c r="AR31" i="22"/>
  <c r="AM31" i="22"/>
  <c r="AI31" i="22"/>
  <c r="AO31" i="22"/>
  <c r="AJ31" i="22"/>
  <c r="AK31" i="22"/>
  <c r="AT31" i="22"/>
  <c r="AS31" i="22"/>
  <c r="AN31" i="22"/>
  <c r="D11" i="22"/>
  <c r="D10" i="22"/>
  <c r="G153" i="15"/>
  <c r="AY31" i="13" l="1"/>
  <c r="AX31" i="13"/>
  <c r="AW31" i="13"/>
  <c r="AV31" i="13"/>
  <c r="AU31" i="13"/>
  <c r="AW7" i="33"/>
  <c r="AW25" i="33" s="1"/>
  <c r="D31" i="13" a="1"/>
  <c r="D31" i="13" l="1"/>
  <c r="I135" i="25"/>
  <c r="I17" i="34" s="1"/>
  <c r="I130" i="25"/>
  <c r="I11" i="34" s="1"/>
  <c r="I132" i="25"/>
  <c r="I12" i="34" s="1"/>
  <c r="AY134" i="25"/>
  <c r="AY18" i="34" s="1"/>
  <c r="AX134" i="25"/>
  <c r="AX18" i="34" s="1"/>
  <c r="AW134" i="25"/>
  <c r="AW18" i="34" s="1"/>
  <c r="AV134" i="25"/>
  <c r="AV18" i="34" s="1"/>
  <c r="AY131" i="25"/>
  <c r="AY14" i="34" s="1"/>
  <c r="AX131" i="25"/>
  <c r="AX14" i="34" s="1"/>
  <c r="AW131" i="25"/>
  <c r="AW14" i="34" s="1"/>
  <c r="AV131" i="25"/>
  <c r="AV14" i="34" s="1"/>
  <c r="AY127" i="25"/>
  <c r="AY10" i="34" s="1"/>
  <c r="AY36" i="34" s="1"/>
  <c r="AX127" i="25"/>
  <c r="AX10" i="34" s="1"/>
  <c r="AX36" i="34" s="1"/>
  <c r="AW127" i="25"/>
  <c r="AW10" i="34" s="1"/>
  <c r="AW36" i="34" s="1"/>
  <c r="AV127" i="25"/>
  <c r="AV10" i="34" s="1"/>
  <c r="AV36" i="34" s="1"/>
  <c r="AU127" i="25"/>
  <c r="AU10" i="34" s="1"/>
  <c r="AU36" i="34" s="1"/>
  <c r="AY126" i="25"/>
  <c r="AY7" i="34" s="1"/>
  <c r="AY25" i="34" s="1"/>
  <c r="AX126" i="25"/>
  <c r="AX7" i="34" s="1"/>
  <c r="AX25" i="34" s="1"/>
  <c r="AW126" i="25"/>
  <c r="AW7" i="34" s="1"/>
  <c r="AW25" i="34" s="1"/>
  <c r="AV126" i="25"/>
  <c r="AV7" i="34" s="1"/>
  <c r="AV25" i="34" s="1"/>
  <c r="AU126" i="25"/>
  <c r="AU7" i="34" s="1"/>
  <c r="AU25" i="34" s="1"/>
  <c r="AU145" i="25"/>
  <c r="AU141" i="25"/>
  <c r="A1" i="34" a="1"/>
  <c r="A1" i="34" s="1"/>
  <c r="BA49" i="34" s="1"/>
  <c r="AV61" i="33"/>
  <c r="AU61" i="33"/>
  <c r="AU60" i="33"/>
  <c r="D18" i="34" a="1"/>
  <c r="D7" i="34" a="1"/>
  <c r="D10" i="34" a="1"/>
  <c r="I54" i="40" l="1" a="1"/>
  <c r="I54" i="40" s="1"/>
  <c r="I73" i="40"/>
  <c r="AV146" i="25"/>
  <c r="AY146" i="25"/>
  <c r="AU146" i="25"/>
  <c r="AU147" i="25" s="1"/>
  <c r="AW146" i="25"/>
  <c r="AX146" i="25"/>
  <c r="AU142" i="25"/>
  <c r="AU143" i="25" s="1"/>
  <c r="AY142" i="25"/>
  <c r="AX142" i="25"/>
  <c r="AV142" i="25"/>
  <c r="AW142" i="25"/>
  <c r="BA47" i="34"/>
  <c r="BA48" i="34"/>
  <c r="BA37" i="34"/>
  <c r="BA39" i="34"/>
  <c r="BA28" i="34"/>
  <c r="BA36" i="34"/>
  <c r="BA25" i="34"/>
  <c r="BA26" i="34"/>
  <c r="BA62" i="34"/>
  <c r="BA61" i="34"/>
  <c r="BA60" i="34"/>
  <c r="BA59" i="34"/>
  <c r="BA58" i="34"/>
  <c r="BA53" i="34"/>
  <c r="BA51" i="34"/>
  <c r="BA23" i="34"/>
  <c r="BA27" i="34"/>
  <c r="BA41" i="34"/>
  <c r="BA55" i="34"/>
  <c r="BA38" i="34"/>
  <c r="BA52" i="34"/>
  <c r="BA46" i="34"/>
  <c r="BA34" i="34"/>
  <c r="BA42" i="34"/>
  <c r="BA30" i="34"/>
  <c r="BA43" i="34"/>
  <c r="D18" i="34"/>
  <c r="D7" i="34"/>
  <c r="D10" i="34"/>
  <c r="D14" i="34" a="1"/>
  <c r="AU149" i="25" l="1"/>
  <c r="D14" i="34"/>
  <c r="AU283" i="15"/>
  <c r="AU279" i="15"/>
  <c r="AY272" i="15"/>
  <c r="AY18" i="33" s="1"/>
  <c r="AX272" i="15"/>
  <c r="AX18" i="33" s="1"/>
  <c r="AW272" i="15"/>
  <c r="AW18" i="33" s="1"/>
  <c r="AV272" i="15"/>
  <c r="AV18" i="33" s="1"/>
  <c r="AY269" i="15"/>
  <c r="AY14" i="33" s="1"/>
  <c r="AX269" i="15"/>
  <c r="AX14" i="33" s="1"/>
  <c r="AW269" i="15"/>
  <c r="AW14" i="33" s="1"/>
  <c r="AV269" i="15"/>
  <c r="AV14" i="33" s="1"/>
  <c r="AY265" i="15"/>
  <c r="AY10" i="33" s="1"/>
  <c r="AY36" i="33" s="1"/>
  <c r="AX265" i="15"/>
  <c r="AX10" i="33" s="1"/>
  <c r="AX36" i="33" s="1"/>
  <c r="AW265" i="15"/>
  <c r="AW10" i="33" s="1"/>
  <c r="AW36" i="33" s="1"/>
  <c r="AV265" i="15"/>
  <c r="AV10" i="33" s="1"/>
  <c r="AV36" i="33" s="1"/>
  <c r="AU265" i="15"/>
  <c r="AU10" i="33" s="1"/>
  <c r="AU36" i="33" s="1"/>
  <c r="AY264" i="15"/>
  <c r="AY7" i="33" s="1"/>
  <c r="AY25" i="33" s="1"/>
  <c r="AX264" i="15"/>
  <c r="AX7" i="33" s="1"/>
  <c r="AX25" i="33" s="1"/>
  <c r="AV264" i="15"/>
  <c r="AV7" i="33" s="1"/>
  <c r="AV25" i="33" s="1"/>
  <c r="AU264" i="15"/>
  <c r="AU7" i="33" s="1"/>
  <c r="AU25" i="33" s="1"/>
  <c r="I17" i="33"/>
  <c r="I12" i="33"/>
  <c r="I11" i="33"/>
  <c r="A1" i="33" a="1"/>
  <c r="A1" i="33" s="1"/>
  <c r="F89" i="26"/>
  <c r="F688" i="35" s="1"/>
  <c r="F88" i="26"/>
  <c r="F687" i="35" s="1"/>
  <c r="F87" i="26"/>
  <c r="F686" i="35" s="1"/>
  <c r="F86" i="26"/>
  <c r="F685" i="35" s="1"/>
  <c r="F85" i="26"/>
  <c r="F684" i="35" s="1"/>
  <c r="F84" i="26"/>
  <c r="F683" i="35" s="1"/>
  <c r="F83" i="26"/>
  <c r="F682" i="35" s="1"/>
  <c r="F82" i="26"/>
  <c r="F681" i="35" s="1"/>
  <c r="F81" i="26"/>
  <c r="F680" i="35" s="1"/>
  <c r="G73" i="26"/>
  <c r="G72" i="26"/>
  <c r="E95" i="35"/>
  <c r="E94" i="35"/>
  <c r="E93" i="35"/>
  <c r="E92" i="35"/>
  <c r="E91" i="35"/>
  <c r="E90" i="35"/>
  <c r="E89" i="35"/>
  <c r="E88" i="35"/>
  <c r="E87" i="35"/>
  <c r="E86" i="35"/>
  <c r="E85" i="35"/>
  <c r="E84" i="35"/>
  <c r="E83" i="35"/>
  <c r="E82" i="35"/>
  <c r="E81" i="35"/>
  <c r="E80" i="35"/>
  <c r="E79" i="35"/>
  <c r="E78" i="35"/>
  <c r="E77" i="35"/>
  <c r="E76" i="35"/>
  <c r="E75" i="35"/>
  <c r="E74" i="35"/>
  <c r="E73" i="35"/>
  <c r="E72" i="35"/>
  <c r="E71" i="35"/>
  <c r="E70" i="35"/>
  <c r="E69" i="35"/>
  <c r="E68" i="35"/>
  <c r="E67" i="35"/>
  <c r="E66" i="35"/>
  <c r="E65" i="35"/>
  <c r="E64" i="35"/>
  <c r="E63" i="35"/>
  <c r="E62" i="35"/>
  <c r="E61" i="35"/>
  <c r="E60" i="35"/>
  <c r="E59" i="35"/>
  <c r="E58" i="35"/>
  <c r="E57" i="35"/>
  <c r="E56" i="35"/>
  <c r="E55" i="35"/>
  <c r="E54" i="35"/>
  <c r="E53" i="35"/>
  <c r="D7" i="33" a="1"/>
  <c r="D18" i="33" a="1"/>
  <c r="D10" i="33" a="1"/>
  <c r="BA157" i="40" l="1"/>
  <c r="BB156" i="40"/>
  <c r="BA154" i="40"/>
  <c r="BB157" i="40"/>
  <c r="BB163" i="40"/>
  <c r="BA163" i="40"/>
  <c r="BB160" i="40"/>
  <c r="BA160" i="40"/>
  <c r="BB153" i="40"/>
  <c r="BB155" i="40"/>
  <c r="BA161" i="40"/>
  <c r="BA162" i="40"/>
  <c r="BB159" i="40"/>
  <c r="BB162" i="40"/>
  <c r="BB150" i="40"/>
  <c r="BB164" i="40"/>
  <c r="BA150" i="40"/>
  <c r="BA164" i="40"/>
  <c r="BA151" i="40"/>
  <c r="BA152" i="40"/>
  <c r="BA156" i="40"/>
  <c r="BB154" i="40"/>
  <c r="BB158" i="40"/>
  <c r="BA149" i="40"/>
  <c r="BA158" i="40"/>
  <c r="BB149" i="40"/>
  <c r="BA153" i="40"/>
  <c r="BB161" i="40"/>
  <c r="BA155" i="40"/>
  <c r="BA159" i="40"/>
  <c r="BB152" i="40"/>
  <c r="BB151" i="40"/>
  <c r="I53" i="40" a="1"/>
  <c r="I53" i="40" s="1"/>
  <c r="I72" i="40"/>
  <c r="AT54" i="40" a="1"/>
  <c r="AT54" i="40" s="1"/>
  <c r="AT73" i="40"/>
  <c r="BA48" i="33"/>
  <c r="BA49" i="33"/>
  <c r="BA39" i="33"/>
  <c r="BA47" i="33"/>
  <c r="BA36" i="33"/>
  <c r="BA37" i="33"/>
  <c r="BA26" i="33"/>
  <c r="BA28" i="33"/>
  <c r="BA62" i="33"/>
  <c r="BA25" i="33"/>
  <c r="E118" i="26" a="1"/>
  <c r="E118" i="26" s="1"/>
  <c r="E717" i="35" s="1"/>
  <c r="E751" i="35" s="1"/>
  <c r="E117" i="26" a="1"/>
  <c r="E117" i="26" s="1"/>
  <c r="E716" i="35" s="1"/>
  <c r="E750" i="35" s="1"/>
  <c r="E682" i="35"/>
  <c r="E104" i="26" a="1"/>
  <c r="E104" i="26" s="1"/>
  <c r="E703" i="35" s="1"/>
  <c r="E737" i="35" s="1"/>
  <c r="E103" i="26" a="1"/>
  <c r="E103" i="26" s="1"/>
  <c r="E702" i="35" s="1"/>
  <c r="E736" i="35" s="1"/>
  <c r="E692" i="35"/>
  <c r="E124" i="26" a="1"/>
  <c r="E124" i="26" s="1"/>
  <c r="E723" i="35" s="1"/>
  <c r="E757" i="35" s="1"/>
  <c r="E123" i="26" a="1"/>
  <c r="E123" i="26" s="1"/>
  <c r="E722" i="35" s="1"/>
  <c r="E756" i="35" s="1"/>
  <c r="E110" i="26" a="1"/>
  <c r="E110" i="26" s="1"/>
  <c r="E709" i="35" s="1"/>
  <c r="E743" i="35" s="1"/>
  <c r="E109" i="26" a="1"/>
  <c r="E109" i="26" s="1"/>
  <c r="E708" i="35" s="1"/>
  <c r="E742" i="35" s="1"/>
  <c r="E694" i="35"/>
  <c r="E128" i="26" a="1"/>
  <c r="E128" i="26" s="1"/>
  <c r="E727" i="35" s="1"/>
  <c r="E761" i="35" s="1"/>
  <c r="E127" i="26" a="1"/>
  <c r="E127" i="26" s="1"/>
  <c r="E726" i="35" s="1"/>
  <c r="E760" i="35" s="1"/>
  <c r="E102" i="26" a="1"/>
  <c r="E102" i="26" s="1"/>
  <c r="E701" i="35" s="1"/>
  <c r="E735" i="35" s="1"/>
  <c r="E101" i="26" a="1"/>
  <c r="E101" i="26" s="1"/>
  <c r="E700" i="35" s="1"/>
  <c r="E734" i="35" s="1"/>
  <c r="E691" i="35"/>
  <c r="E122" i="26" a="1"/>
  <c r="E122" i="26" s="1"/>
  <c r="E721" i="35" s="1"/>
  <c r="E755" i="35" s="1"/>
  <c r="E121" i="26" a="1"/>
  <c r="E121" i="26" s="1"/>
  <c r="E720" i="35" s="1"/>
  <c r="E754" i="35" s="1"/>
  <c r="E684" i="35"/>
  <c r="E108" i="26" a="1"/>
  <c r="E108" i="26" s="1"/>
  <c r="E707" i="35" s="1"/>
  <c r="E741" i="35" s="1"/>
  <c r="E107" i="26" a="1"/>
  <c r="E107" i="26" s="1"/>
  <c r="E706" i="35" s="1"/>
  <c r="E740" i="35" s="1"/>
  <c r="E687" i="35"/>
  <c r="E114" i="26" a="1"/>
  <c r="E114" i="26" s="1"/>
  <c r="E113" i="26" a="1"/>
  <c r="E113" i="26" s="1"/>
  <c r="E712" i="35" s="1"/>
  <c r="E746" i="35" s="1"/>
  <c r="E695" i="35"/>
  <c r="E130" i="26" a="1"/>
  <c r="E130" i="26" s="1"/>
  <c r="E729" i="35" s="1"/>
  <c r="E763" i="35" s="1"/>
  <c r="E129" i="26" a="1"/>
  <c r="E129" i="26" s="1"/>
  <c r="E728" i="35" s="1"/>
  <c r="E762" i="35" s="1"/>
  <c r="E690" i="35"/>
  <c r="E120" i="26" a="1"/>
  <c r="E120" i="26" s="1"/>
  <c r="E719" i="35" s="1"/>
  <c r="E753" i="35" s="1"/>
  <c r="E119" i="26" a="1"/>
  <c r="E119" i="26" s="1"/>
  <c r="E718" i="35" s="1"/>
  <c r="E752" i="35" s="1"/>
  <c r="E683" i="35"/>
  <c r="E106" i="26" a="1"/>
  <c r="E106" i="26" s="1"/>
  <c r="E705" i="35" s="1"/>
  <c r="E739" i="35" s="1"/>
  <c r="E105" i="26" a="1"/>
  <c r="E105" i="26" s="1"/>
  <c r="E704" i="35" s="1"/>
  <c r="E738" i="35" s="1"/>
  <c r="E125" i="26" a="1"/>
  <c r="E125" i="26" s="1"/>
  <c r="E724" i="35" s="1"/>
  <c r="E758" i="35" s="1"/>
  <c r="E126" i="26" a="1"/>
  <c r="E126" i="26" s="1"/>
  <c r="E725" i="35" s="1"/>
  <c r="E759" i="35" s="1"/>
  <c r="E686" i="35"/>
  <c r="E112" i="26" a="1"/>
  <c r="E112" i="26" s="1"/>
  <c r="E711" i="35" s="1"/>
  <c r="E745" i="35" s="1"/>
  <c r="E111" i="26" a="1"/>
  <c r="E111" i="26" s="1"/>
  <c r="E100" i="26" a="1"/>
  <c r="E100" i="26" s="1"/>
  <c r="E699" i="35" s="1"/>
  <c r="E733" i="35" s="1"/>
  <c r="E99" i="26" a="1"/>
  <c r="E99" i="26" s="1"/>
  <c r="E688" i="35"/>
  <c r="E116" i="26" a="1"/>
  <c r="E116" i="26" s="1"/>
  <c r="E715" i="35" s="1"/>
  <c r="E749" i="35" s="1"/>
  <c r="E115" i="26" a="1"/>
  <c r="E115" i="26" s="1"/>
  <c r="E714" i="35" s="1"/>
  <c r="E748" i="35" s="1"/>
  <c r="D18" i="33"/>
  <c r="D10" i="33"/>
  <c r="D7" i="33"/>
  <c r="BA59" i="33"/>
  <c r="BA61" i="33"/>
  <c r="BA60" i="33"/>
  <c r="BA55" i="33"/>
  <c r="BA58" i="33"/>
  <c r="BA46" i="33"/>
  <c r="BA51" i="33"/>
  <c r="BA53" i="33"/>
  <c r="BA52" i="33"/>
  <c r="BA41" i="33"/>
  <c r="BA43" i="33"/>
  <c r="BA42" i="33"/>
  <c r="BA34" i="33"/>
  <c r="BA38" i="33"/>
  <c r="BA23" i="33"/>
  <c r="BA30" i="33"/>
  <c r="BA27" i="33"/>
  <c r="D393" i="35"/>
  <c r="D461" i="35"/>
  <c r="D485" i="35"/>
  <c r="D497" i="35"/>
  <c r="D501" i="35"/>
  <c r="D413" i="35"/>
  <c r="D366" i="35"/>
  <c r="D554" i="35"/>
  <c r="D594" i="35"/>
  <c r="D387" i="35"/>
  <c r="D391" i="35"/>
  <c r="D447" i="35"/>
  <c r="D451" i="35"/>
  <c r="D576" i="35"/>
  <c r="D600" i="35"/>
  <c r="D416" i="35"/>
  <c r="D436" i="35"/>
  <c r="D472" i="35"/>
  <c r="D496" i="35"/>
  <c r="D614" i="35"/>
  <c r="D590" i="35"/>
  <c r="D597" i="35"/>
  <c r="D555" i="35"/>
  <c r="D595" i="35"/>
  <c r="D541" i="35"/>
  <c r="D437" i="35"/>
  <c r="D536" i="35"/>
  <c r="D564" i="35"/>
  <c r="D596" i="35"/>
  <c r="D364" i="35"/>
  <c r="D524" i="35"/>
  <c r="D389" i="35"/>
  <c r="D474" i="35"/>
  <c r="D514" i="35"/>
  <c r="D373" i="35"/>
  <c r="D526" i="35"/>
  <c r="D585" i="35"/>
  <c r="D403" i="35"/>
  <c r="D431" i="35"/>
  <c r="D435" i="35"/>
  <c r="D499" i="35"/>
  <c r="D507" i="35"/>
  <c r="D568" i="35"/>
  <c r="D534" i="35"/>
  <c r="D384" i="35"/>
  <c r="D420" i="35"/>
  <c r="D512" i="35"/>
  <c r="D582" i="35"/>
  <c r="D599" i="35"/>
  <c r="D418" i="35"/>
  <c r="D377" i="35"/>
  <c r="D453" i="35"/>
  <c r="D505" i="35"/>
  <c r="D588" i="35"/>
  <c r="D369" i="35"/>
  <c r="D405" i="35"/>
  <c r="D390" i="35"/>
  <c r="D394" i="35"/>
  <c r="D546" i="35"/>
  <c r="D532" i="35"/>
  <c r="D553" i="35"/>
  <c r="D371" i="35"/>
  <c r="D407" i="35"/>
  <c r="D459" i="35"/>
  <c r="D511" i="35"/>
  <c r="D533" i="35"/>
  <c r="D592" i="35"/>
  <c r="D388" i="35"/>
  <c r="D408" i="35"/>
  <c r="D615" i="35"/>
  <c r="D551" i="35"/>
  <c r="D575" i="35"/>
  <c r="D589" i="35"/>
  <c r="D547" i="35"/>
  <c r="D609" i="35"/>
  <c r="D452" i="35"/>
  <c r="D370" i="35"/>
  <c r="D374" i="35"/>
  <c r="D398" i="35"/>
  <c r="D430" i="35"/>
  <c r="D498" i="35"/>
  <c r="D502" i="35"/>
  <c r="D578" i="35"/>
  <c r="D586" i="35"/>
  <c r="D446" i="35"/>
  <c r="D520" i="35"/>
  <c r="D560" i="35"/>
  <c r="D368" i="35"/>
  <c r="D424" i="35"/>
  <c r="D428" i="35"/>
  <c r="D440" i="35"/>
  <c r="D464" i="35"/>
  <c r="D362" i="35"/>
  <c r="D591" i="35"/>
  <c r="D557" i="35"/>
  <c r="D571" i="35"/>
  <c r="D587" i="35"/>
  <c r="D375" i="35"/>
  <c r="D399" i="35"/>
  <c r="D433" i="35"/>
  <c r="D386" i="35"/>
  <c r="D385" i="35"/>
  <c r="D429" i="35"/>
  <c r="D445" i="35"/>
  <c r="D509" i="35"/>
  <c r="D381" i="35"/>
  <c r="D449" i="35"/>
  <c r="D402" i="35"/>
  <c r="D414" i="35"/>
  <c r="D442" i="35"/>
  <c r="D462" i="35"/>
  <c r="D486" i="35"/>
  <c r="D519" i="35"/>
  <c r="D538" i="35"/>
  <c r="D570" i="35"/>
  <c r="D610" i="35"/>
  <c r="D417" i="35"/>
  <c r="D545" i="35"/>
  <c r="D395" i="35"/>
  <c r="D411" i="35"/>
  <c r="D439" i="35"/>
  <c r="D443" i="35"/>
  <c r="D503" i="35"/>
  <c r="D584" i="35"/>
  <c r="D376" i="35"/>
  <c r="D392" i="35"/>
  <c r="D444" i="35"/>
  <c r="D476" i="35"/>
  <c r="D606" i="35"/>
  <c r="D612" i="35"/>
  <c r="D581" i="35"/>
  <c r="D539" i="35"/>
  <c r="D579" i="35"/>
  <c r="D593" i="35"/>
  <c r="D603" i="35"/>
  <c r="D412" i="35"/>
  <c r="D401" i="35"/>
  <c r="D465" i="35"/>
  <c r="D489" i="35"/>
  <c r="D580" i="35"/>
  <c r="D360" i="35"/>
  <c r="D410" i="35"/>
  <c r="D506" i="35"/>
  <c r="D372" i="35"/>
  <c r="D569" i="35"/>
  <c r="D415" i="35"/>
  <c r="D427" i="35"/>
  <c r="D487" i="35"/>
  <c r="D515" i="35"/>
  <c r="D552" i="35"/>
  <c r="D613" i="35"/>
  <c r="D396" i="35"/>
  <c r="D460" i="35"/>
  <c r="D488" i="35"/>
  <c r="D504" i="35"/>
  <c r="D508" i="35"/>
  <c r="D550" i="35"/>
  <c r="D574" i="35"/>
  <c r="D426" i="35"/>
  <c r="D543" i="35"/>
  <c r="D583" i="35"/>
  <c r="D549" i="35"/>
  <c r="D441" i="35"/>
  <c r="D477" i="35"/>
  <c r="D604" i="35"/>
  <c r="D421" i="35"/>
  <c r="D518" i="35"/>
  <c r="D537" i="35"/>
  <c r="D378" i="35"/>
  <c r="D510" i="35"/>
  <c r="D525" i="35"/>
  <c r="D562" i="35"/>
  <c r="D577" i="35"/>
  <c r="D611" i="35"/>
  <c r="D383" i="35"/>
  <c r="D463" i="35"/>
  <c r="D475" i="35"/>
  <c r="D608" i="35"/>
  <c r="D404" i="35"/>
  <c r="D516" i="35"/>
  <c r="D529" i="35"/>
  <c r="D598" i="35"/>
  <c r="D573" i="35"/>
  <c r="D605" i="35"/>
  <c r="D425" i="35"/>
  <c r="D380" i="35"/>
  <c r="D572" i="35"/>
  <c r="D469" i="35"/>
  <c r="D382" i="35"/>
  <c r="D422" i="35"/>
  <c r="D434" i="35"/>
  <c r="D438" i="35"/>
  <c r="D450" i="35"/>
  <c r="D602" i="35"/>
  <c r="D397" i="35"/>
  <c r="D601" i="35"/>
  <c r="D379" i="35"/>
  <c r="D419" i="35"/>
  <c r="D423" i="35"/>
  <c r="D544" i="35"/>
  <c r="D400" i="35"/>
  <c r="D432" i="35"/>
  <c r="D448" i="35"/>
  <c r="D484" i="35"/>
  <c r="D500" i="35"/>
  <c r="D535" i="35"/>
  <c r="D542" i="35"/>
  <c r="D517" i="35"/>
  <c r="D607" i="35"/>
  <c r="D563" i="35"/>
  <c r="D531" i="35"/>
  <c r="D523" i="35"/>
  <c r="D481" i="35"/>
  <c r="D365" i="35"/>
  <c r="D468" i="35"/>
  <c r="D457" i="35"/>
  <c r="D480" i="35"/>
  <c r="D522" i="35"/>
  <c r="D566" i="35"/>
  <c r="D559" i="35"/>
  <c r="D495" i="35"/>
  <c r="D491" i="35"/>
  <c r="D456" i="35"/>
  <c r="D471" i="35"/>
  <c r="D470" i="35"/>
  <c r="D556" i="35"/>
  <c r="D513" i="35"/>
  <c r="D521" i="35"/>
  <c r="D558" i="35"/>
  <c r="D467" i="35"/>
  <c r="D548" i="35"/>
  <c r="D455" i="35"/>
  <c r="D565" i="35"/>
  <c r="D478" i="35"/>
  <c r="D530" i="35"/>
  <c r="D540" i="35"/>
  <c r="D361" i="35"/>
  <c r="D479" i="35"/>
  <c r="D561" i="35"/>
  <c r="D493" i="35"/>
  <c r="D458" i="35"/>
  <c r="D466" i="35"/>
  <c r="D406" i="35"/>
  <c r="D483" i="35"/>
  <c r="D492" i="35"/>
  <c r="D359" i="35"/>
  <c r="D454" i="35"/>
  <c r="D363" i="35"/>
  <c r="D473" i="35"/>
  <c r="D367" i="35"/>
  <c r="D482" i="35"/>
  <c r="D527" i="35"/>
  <c r="D490" i="35"/>
  <c r="D494" i="35"/>
  <c r="D567" i="35"/>
  <c r="D409" i="35"/>
  <c r="D528" i="35"/>
  <c r="D358" i="35"/>
  <c r="E680" i="35"/>
  <c r="E681" i="35"/>
  <c r="E685" i="35"/>
  <c r="E689" i="35"/>
  <c r="E693" i="35"/>
  <c r="E710" i="35"/>
  <c r="E744" i="35" s="1"/>
  <c r="E713" i="35"/>
  <c r="E747" i="35" s="1"/>
  <c r="AY34" i="15"/>
  <c r="AX34" i="15"/>
  <c r="AW34" i="15"/>
  <c r="AV34" i="15"/>
  <c r="AU34" i="15"/>
  <c r="D14" i="33" a="1"/>
  <c r="AV636" i="35" l="1"/>
  <c r="AV653" i="35" s="1"/>
  <c r="AU636" i="35"/>
  <c r="E698" i="35"/>
  <c r="E732" i="35" s="1"/>
  <c r="AW158" i="40"/>
  <c r="AY149" i="40"/>
  <c r="AY161" i="40"/>
  <c r="AY155" i="40"/>
  <c r="AX157" i="40"/>
  <c r="AV164" i="40"/>
  <c r="AW156" i="40"/>
  <c r="AX164" i="40"/>
  <c r="AY164" i="40"/>
  <c r="AU155" i="40"/>
  <c r="AW159" i="40"/>
  <c r="AU152" i="40"/>
  <c r="AX152" i="40"/>
  <c r="AY157" i="40"/>
  <c r="AU154" i="40"/>
  <c r="AX150" i="40"/>
  <c r="AY153" i="40"/>
  <c r="AW157" i="40"/>
  <c r="AV159" i="40"/>
  <c r="AW151" i="40"/>
  <c r="AU158" i="40"/>
  <c r="AV150" i="40"/>
  <c r="AX153" i="40"/>
  <c r="AW163" i="40"/>
  <c r="AV160" i="40"/>
  <c r="AU162" i="40"/>
  <c r="AU149" i="40"/>
  <c r="AU159" i="40"/>
  <c r="AY160" i="40"/>
  <c r="AU153" i="40"/>
  <c r="AX159" i="40"/>
  <c r="AW153" i="40"/>
  <c r="AU150" i="40"/>
  <c r="AV155" i="40"/>
  <c r="AU161" i="40"/>
  <c r="AW150" i="40"/>
  <c r="AX161" i="40"/>
  <c r="AW155" i="40"/>
  <c r="AU157" i="40"/>
  <c r="AX160" i="40"/>
  <c r="AX149" i="40"/>
  <c r="AW162" i="40"/>
  <c r="AX154" i="40"/>
  <c r="AV161" i="40"/>
  <c r="AV158" i="40"/>
  <c r="AW161" i="40"/>
  <c r="AY154" i="40"/>
  <c r="AX163" i="40"/>
  <c r="AV152" i="40"/>
  <c r="AV149" i="40"/>
  <c r="AW149" i="40"/>
  <c r="AV162" i="40"/>
  <c r="AV151" i="40"/>
  <c r="AU164" i="40"/>
  <c r="AV156" i="40"/>
  <c r="AW164" i="40"/>
  <c r="AX156" i="40"/>
  <c r="AY152" i="40"/>
  <c r="AY159" i="40"/>
  <c r="AY156" i="40"/>
  <c r="AY151" i="40"/>
  <c r="AY162" i="40"/>
  <c r="AX155" i="40"/>
  <c r="AW160" i="40"/>
  <c r="AY150" i="40"/>
  <c r="AU151" i="40"/>
  <c r="AY163" i="40"/>
  <c r="AW154" i="40"/>
  <c r="AV163" i="40"/>
  <c r="AX158" i="40"/>
  <c r="AW152" i="40"/>
  <c r="AY158" i="40"/>
  <c r="AV154" i="40"/>
  <c r="AU156" i="40"/>
  <c r="AX162" i="40"/>
  <c r="AV153" i="40"/>
  <c r="AU163" i="40"/>
  <c r="AU160" i="40"/>
  <c r="AV157" i="40"/>
  <c r="AX151" i="40"/>
  <c r="D14" i="33"/>
  <c r="AY638" i="35"/>
  <c r="AY637" i="35"/>
  <c r="AY654" i="35" s="1"/>
  <c r="AU641" i="35"/>
  <c r="AY633" i="35"/>
  <c r="AU640" i="35"/>
  <c r="AW638" i="35"/>
  <c r="AV639" i="35"/>
  <c r="AU633" i="35"/>
  <c r="AV633" i="35"/>
  <c r="AW639" i="35"/>
  <c r="AW656" i="35" s="1"/>
  <c r="AX633" i="35"/>
  <c r="AW633" i="35"/>
  <c r="AX639" i="35"/>
  <c r="AU639" i="35"/>
  <c r="AY639" i="35"/>
  <c r="AX632" i="35"/>
  <c r="AX647" i="35" s="1"/>
  <c r="AV638" i="35"/>
  <c r="AW632" i="35"/>
  <c r="AU638" i="35"/>
  <c r="AV632" i="35"/>
  <c r="AU632" i="35"/>
  <c r="AX638" i="35"/>
  <c r="AX655" i="35" s="1"/>
  <c r="AY632" i="35"/>
  <c r="AX630" i="35"/>
  <c r="AW636" i="35"/>
  <c r="AW653" i="35" s="1"/>
  <c r="AX636" i="35"/>
  <c r="AX653" i="35" s="1"/>
  <c r="AY630" i="35"/>
  <c r="AW630" i="35"/>
  <c r="AY636" i="35"/>
  <c r="AV630" i="35"/>
  <c r="AU630" i="35"/>
  <c r="AV635" i="35"/>
  <c r="AY641" i="35"/>
  <c r="AY658" i="35" s="1"/>
  <c r="AU635" i="35"/>
  <c r="AW635" i="35"/>
  <c r="AX635" i="35"/>
  <c r="AX641" i="35"/>
  <c r="AY635" i="35"/>
  <c r="AW641" i="35"/>
  <c r="AV641" i="35"/>
  <c r="AV658" i="35" s="1"/>
  <c r="AY634" i="35"/>
  <c r="AW634" i="35"/>
  <c r="AX634" i="35"/>
  <c r="AY640" i="35"/>
  <c r="AW640" i="35"/>
  <c r="AV634" i="35"/>
  <c r="AX640" i="35"/>
  <c r="AV640" i="35"/>
  <c r="AV657" i="35" s="1"/>
  <c r="AU634" i="35"/>
  <c r="AX637" i="35"/>
  <c r="AX654" i="35" s="1"/>
  <c r="AV631" i="35"/>
  <c r="AV637" i="35"/>
  <c r="AY631" i="35"/>
  <c r="AX631" i="35"/>
  <c r="AU637" i="35"/>
  <c r="AW631" i="35"/>
  <c r="AU631" i="35"/>
  <c r="AW637" i="35"/>
  <c r="AW654" i="35" s="1"/>
  <c r="AW749" i="35"/>
  <c r="AX749" i="35"/>
  <c r="D749" i="35"/>
  <c r="AY749" i="35"/>
  <c r="AU749" i="35"/>
  <c r="AV749" i="35"/>
  <c r="AU756" i="35"/>
  <c r="AV756" i="35"/>
  <c r="AW756" i="35"/>
  <c r="AX756" i="35"/>
  <c r="D756" i="35"/>
  <c r="AY756" i="35"/>
  <c r="AU748" i="35"/>
  <c r="AY748" i="35"/>
  <c r="D748" i="35"/>
  <c r="AX748" i="35"/>
  <c r="AW748" i="35"/>
  <c r="AV748" i="35"/>
  <c r="AU740" i="35"/>
  <c r="AY740" i="35"/>
  <c r="AV740" i="35"/>
  <c r="AW740" i="35"/>
  <c r="AX740" i="35"/>
  <c r="D740" i="35"/>
  <c r="AU732" i="35"/>
  <c r="AY732" i="35"/>
  <c r="AW732" i="35"/>
  <c r="D732" i="35"/>
  <c r="AV732" i="35"/>
  <c r="AX732" i="35"/>
  <c r="AU763" i="35"/>
  <c r="AY763" i="35"/>
  <c r="D763" i="35"/>
  <c r="AW763" i="35"/>
  <c r="AX763" i="35"/>
  <c r="AV763" i="35"/>
  <c r="AW755" i="35"/>
  <c r="AX755" i="35"/>
  <c r="AU755" i="35"/>
  <c r="AV755" i="35"/>
  <c r="D755" i="35"/>
  <c r="AY755" i="35"/>
  <c r="AW747" i="35"/>
  <c r="AU747" i="35"/>
  <c r="AV747" i="35"/>
  <c r="AX747" i="35"/>
  <c r="AY747" i="35"/>
  <c r="D747" i="35"/>
  <c r="AW739" i="35"/>
  <c r="AU739" i="35"/>
  <c r="AY739" i="35"/>
  <c r="D739" i="35"/>
  <c r="AV739" i="35"/>
  <c r="AX739" i="35"/>
  <c r="AW762" i="35"/>
  <c r="AU762" i="35"/>
  <c r="D762" i="35"/>
  <c r="AV762" i="35"/>
  <c r="AY762" i="35"/>
  <c r="AX762" i="35"/>
  <c r="D754" i="35"/>
  <c r="AU754" i="35"/>
  <c r="AY754" i="35"/>
  <c r="AX754" i="35"/>
  <c r="AV754" i="35"/>
  <c r="AW754" i="35"/>
  <c r="AU746" i="35"/>
  <c r="D746" i="35"/>
  <c r="AY746" i="35"/>
  <c r="AV746" i="35"/>
  <c r="AW746" i="35"/>
  <c r="AX746" i="35"/>
  <c r="AU738" i="35"/>
  <c r="AV738" i="35"/>
  <c r="AW738" i="35"/>
  <c r="AY738" i="35"/>
  <c r="AX738" i="35"/>
  <c r="D738" i="35"/>
  <c r="D753" i="35"/>
  <c r="AU753" i="35"/>
  <c r="AY753" i="35"/>
  <c r="AV753" i="35"/>
  <c r="AW753" i="35"/>
  <c r="AX753" i="35"/>
  <c r="AU736" i="35"/>
  <c r="AY736" i="35"/>
  <c r="D736" i="35"/>
  <c r="AV736" i="35"/>
  <c r="AW736" i="35"/>
  <c r="AX736" i="35"/>
  <c r="AW751" i="35"/>
  <c r="AU751" i="35"/>
  <c r="AY751" i="35"/>
  <c r="AV751" i="35"/>
  <c r="AX751" i="35"/>
  <c r="D751" i="35"/>
  <c r="AV745" i="35"/>
  <c r="AU745" i="35"/>
  <c r="AW745" i="35"/>
  <c r="AX745" i="35"/>
  <c r="D745" i="35"/>
  <c r="AY745" i="35"/>
  <c r="AU759" i="35"/>
  <c r="AY759" i="35"/>
  <c r="D759" i="35"/>
  <c r="AX759" i="35"/>
  <c r="AW759" i="35"/>
  <c r="AV759" i="35"/>
  <c r="AU761" i="35"/>
  <c r="D761" i="35"/>
  <c r="AY761" i="35"/>
  <c r="AX761" i="35"/>
  <c r="AW761" i="35"/>
  <c r="AV761" i="35"/>
  <c r="AU744" i="35"/>
  <c r="D744" i="35"/>
  <c r="AY744" i="35"/>
  <c r="AV744" i="35"/>
  <c r="AX744" i="35"/>
  <c r="AW744" i="35"/>
  <c r="AX760" i="35"/>
  <c r="D760" i="35"/>
  <c r="AY760" i="35"/>
  <c r="AW760" i="35"/>
  <c r="AU760" i="35"/>
  <c r="AV760" i="35"/>
  <c r="AW743" i="35"/>
  <c r="AU743" i="35"/>
  <c r="D743" i="35"/>
  <c r="AV743" i="35"/>
  <c r="AX743" i="35"/>
  <c r="AY743" i="35"/>
  <c r="D741" i="35"/>
  <c r="AY741" i="35"/>
  <c r="AX741" i="35"/>
  <c r="AU741" i="35"/>
  <c r="AV741" i="35"/>
  <c r="AW741" i="35"/>
  <c r="AW737" i="35"/>
  <c r="AU737" i="35"/>
  <c r="AX737" i="35"/>
  <c r="D737" i="35"/>
  <c r="AY737" i="35"/>
  <c r="AV737" i="35"/>
  <c r="AW735" i="35"/>
  <c r="AV735" i="35"/>
  <c r="AU735" i="35"/>
  <c r="AY735" i="35"/>
  <c r="D735" i="35"/>
  <c r="AX735" i="35"/>
  <c r="AU752" i="35"/>
  <c r="D752" i="35"/>
  <c r="AY752" i="35"/>
  <c r="AX752" i="35"/>
  <c r="AW752" i="35"/>
  <c r="AV752" i="35"/>
  <c r="AW757" i="35"/>
  <c r="AU757" i="35"/>
  <c r="AX757" i="35"/>
  <c r="D757" i="35"/>
  <c r="AY757" i="35"/>
  <c r="AV757" i="35"/>
  <c r="AW758" i="35"/>
  <c r="AU758" i="35"/>
  <c r="AY758" i="35"/>
  <c r="D758" i="35"/>
  <c r="AX758" i="35"/>
  <c r="AV758" i="35"/>
  <c r="AY750" i="35"/>
  <c r="AU750" i="35"/>
  <c r="AV750" i="35"/>
  <c r="AX750" i="35"/>
  <c r="D750" i="35"/>
  <c r="AW750" i="35"/>
  <c r="AU742" i="35"/>
  <c r="AV742" i="35"/>
  <c r="D742" i="35"/>
  <c r="AY742" i="35"/>
  <c r="AW742" i="35"/>
  <c r="AX742" i="35"/>
  <c r="AY734" i="35"/>
  <c r="AW734" i="35"/>
  <c r="AX734" i="35"/>
  <c r="AV734" i="35"/>
  <c r="AU734" i="35"/>
  <c r="D734" i="35"/>
  <c r="AY733" i="35"/>
  <c r="AV733" i="35"/>
  <c r="AU733" i="35"/>
  <c r="D733" i="35"/>
  <c r="AW733" i="35"/>
  <c r="AX733" i="35"/>
  <c r="G57" i="13"/>
  <c r="AU654" i="35" l="1"/>
  <c r="AU653" i="35"/>
  <c r="AU655" i="35"/>
  <c r="AU658" i="35"/>
  <c r="I13" i="40"/>
  <c r="BC156" i="40"/>
  <c r="BC152" i="40"/>
  <c r="BC157" i="40"/>
  <c r="BC163" i="40"/>
  <c r="BC162" i="40"/>
  <c r="BC161" i="40"/>
  <c r="BC154" i="40"/>
  <c r="BC153" i="40"/>
  <c r="BC159" i="40"/>
  <c r="BC151" i="40"/>
  <c r="BC155" i="40"/>
  <c r="BC158" i="40"/>
  <c r="BC164" i="40"/>
  <c r="BC150" i="40"/>
  <c r="BC160" i="40"/>
  <c r="BC149" i="40"/>
  <c r="AU775" i="35"/>
  <c r="AU776" i="35"/>
  <c r="AV654" i="35"/>
  <c r="AY655" i="35"/>
  <c r="AU656" i="35"/>
  <c r="AV656" i="35"/>
  <c r="AX658" i="35"/>
  <c r="AW657" i="35"/>
  <c r="AX657" i="35"/>
  <c r="AY657" i="35"/>
  <c r="AX656" i="35"/>
  <c r="AU657" i="35"/>
  <c r="AY653" i="35"/>
  <c r="AV655" i="35"/>
  <c r="AV647" i="35"/>
  <c r="AU647" i="35"/>
  <c r="AY656" i="35"/>
  <c r="AU777" i="35"/>
  <c r="AW647" i="35"/>
  <c r="AY647" i="35"/>
  <c r="AW655" i="35"/>
  <c r="AW658" i="35"/>
  <c r="AX775" i="35"/>
  <c r="AY777" i="35"/>
  <c r="AX777" i="35"/>
  <c r="AV777" i="35"/>
  <c r="AY775" i="35"/>
  <c r="AW777" i="35"/>
  <c r="AV775" i="35"/>
  <c r="AW775" i="35"/>
  <c r="AX774" i="35"/>
  <c r="AU774" i="35"/>
  <c r="AV774" i="35"/>
  <c r="AY774" i="35"/>
  <c r="AY776" i="35"/>
  <c r="AV776" i="35"/>
  <c r="AW776" i="35"/>
  <c r="AX776" i="35"/>
  <c r="AW774" i="35"/>
  <c r="AO59" i="15"/>
  <c r="AP59" i="15"/>
  <c r="AQ59" i="15"/>
  <c r="AR59" i="15"/>
  <c r="AS59" i="15"/>
  <c r="I14" i="40" l="1"/>
  <c r="G86" i="27"/>
  <c r="AT72" i="40" l="1"/>
  <c r="AT53" i="40" a="1"/>
  <c r="AT53" i="40" s="1"/>
  <c r="AY17" i="22"/>
  <c r="AX17" i="22"/>
  <c r="AW17" i="22"/>
  <c r="AV17" i="22"/>
  <c r="AU17" i="22"/>
  <c r="AT17" i="22"/>
  <c r="AS17" i="22"/>
  <c r="AR17" i="22"/>
  <c r="AQ17" i="22"/>
  <c r="AP17" i="22"/>
  <c r="AO17" i="22"/>
  <c r="AN17" i="22"/>
  <c r="AM17" i="22"/>
  <c r="AL17" i="22"/>
  <c r="AK17" i="22"/>
  <c r="AJ17" i="22"/>
  <c r="AI17" i="22"/>
  <c r="AH17" i="22"/>
  <c r="G7" i="22"/>
  <c r="G8" i="22" l="1"/>
  <c r="D9" i="22" a="1"/>
  <c r="D9" i="22" l="1"/>
  <c r="G9" i="22"/>
  <c r="G16" i="22" l="1"/>
  <c r="Y16" i="22"/>
  <c r="BB16" i="22"/>
  <c r="BC16" i="22"/>
  <c r="G17" i="22"/>
  <c r="G18" i="22"/>
  <c r="G21" i="22"/>
  <c r="Y21" i="22"/>
  <c r="BB21" i="22"/>
  <c r="BC21" i="22"/>
  <c r="G22" i="22"/>
  <c r="G10" i="8" s="1"/>
  <c r="BB22" i="22"/>
  <c r="BC22" i="22"/>
  <c r="G23" i="22"/>
  <c r="BB23" i="22"/>
  <c r="BC23" i="22"/>
  <c r="G26" i="22"/>
  <c r="BB26" i="22"/>
  <c r="BC26" i="22"/>
  <c r="G31" i="32" l="1"/>
  <c r="AG10" i="32" l="1"/>
  <c r="AF10" i="32"/>
  <c r="AE10" i="32"/>
  <c r="AD10" i="32"/>
  <c r="AC10" i="32"/>
  <c r="AB10" i="32"/>
  <c r="AA10" i="32"/>
  <c r="Z10" i="32"/>
  <c r="Y10" i="32"/>
  <c r="X10" i="32"/>
  <c r="D10" i="32" a="1"/>
  <c r="D10" i="32" l="1"/>
  <c r="A1" i="32" l="1" a="1"/>
  <c r="A1" i="32" s="1"/>
  <c r="BA132" i="32" l="1"/>
  <c r="BA129" i="32"/>
  <c r="BA130" i="32"/>
  <c r="BA108" i="32"/>
  <c r="BA126" i="32"/>
  <c r="BA122" i="32"/>
  <c r="BA118" i="32"/>
  <c r="BA114" i="32"/>
  <c r="BA110" i="32"/>
  <c r="BA106" i="32"/>
  <c r="BA102" i="32"/>
  <c r="BA120" i="32"/>
  <c r="BA104" i="32"/>
  <c r="BA112" i="32"/>
  <c r="BA125" i="32"/>
  <c r="BA121" i="32"/>
  <c r="BA117" i="32"/>
  <c r="BA113" i="32"/>
  <c r="BA109" i="32"/>
  <c r="BA105" i="32"/>
  <c r="BA101" i="32"/>
  <c r="BA124" i="32"/>
  <c r="BA100" i="32"/>
  <c r="BA116" i="32"/>
  <c r="BA123" i="32"/>
  <c r="BA119" i="32"/>
  <c r="BA115" i="32"/>
  <c r="BA111" i="32"/>
  <c r="BA107" i="32"/>
  <c r="BA103" i="32"/>
  <c r="BA99" i="32"/>
  <c r="BA96" i="32"/>
  <c r="BA97" i="32"/>
  <c r="BA66" i="32"/>
  <c r="BA93" i="32"/>
  <c r="BA89" i="32"/>
  <c r="BA85" i="32"/>
  <c r="BA81" i="32"/>
  <c r="BA77" i="32"/>
  <c r="BA73" i="32"/>
  <c r="BA69" i="32"/>
  <c r="BA86" i="32"/>
  <c r="BA70" i="32"/>
  <c r="BA90" i="32"/>
  <c r="BA92" i="32"/>
  <c r="BA88" i="32"/>
  <c r="BA84" i="32"/>
  <c r="BA80" i="32"/>
  <c r="BA76" i="32"/>
  <c r="BA72" i="32"/>
  <c r="BA68" i="32"/>
  <c r="BA74" i="32"/>
  <c r="BA78" i="32"/>
  <c r="BA91" i="32"/>
  <c r="BA87" i="32"/>
  <c r="BA83" i="32"/>
  <c r="BA79" i="32"/>
  <c r="BA75" i="32"/>
  <c r="BA71" i="32"/>
  <c r="BA67" i="32"/>
  <c r="BA82" i="32"/>
  <c r="BA40" i="32"/>
  <c r="BA63" i="32"/>
  <c r="BA59" i="32"/>
  <c r="BA55" i="32"/>
  <c r="BA51" i="32"/>
  <c r="BA47" i="32"/>
  <c r="BA43" i="32"/>
  <c r="BA39" i="32"/>
  <c r="BA44" i="32"/>
  <c r="BA48" i="32"/>
  <c r="BA62" i="32"/>
  <c r="BA58" i="32"/>
  <c r="BA54" i="32"/>
  <c r="BA50" i="32"/>
  <c r="BA46" i="32"/>
  <c r="BA42" i="32"/>
  <c r="BA38" i="32"/>
  <c r="BA60" i="32"/>
  <c r="BA61" i="32"/>
  <c r="BA57" i="32"/>
  <c r="BA53" i="32"/>
  <c r="BA49" i="32"/>
  <c r="BA45" i="32"/>
  <c r="BA41" i="32"/>
  <c r="BA37" i="32"/>
  <c r="BA52" i="32"/>
  <c r="BA36" i="32"/>
  <c r="BA56" i="32"/>
  <c r="BA31" i="32"/>
  <c r="BA34" i="32"/>
  <c r="BA28" i="32"/>
  <c r="BA29" i="32"/>
  <c r="BA24" i="32"/>
  <c r="BA21" i="32"/>
  <c r="BA22" i="32"/>
  <c r="AT83" i="25" l="1"/>
  <c r="BB76" i="25"/>
  <c r="BB71" i="25"/>
  <c r="G32" i="15"/>
  <c r="AU32" i="15"/>
  <c r="AV32" i="15"/>
  <c r="AW32" i="15"/>
  <c r="AX32" i="15"/>
  <c r="AY32" i="15"/>
  <c r="BB32" i="15"/>
  <c r="BC32" i="15"/>
  <c r="G33" i="15"/>
  <c r="AU33" i="15"/>
  <c r="AV33" i="15"/>
  <c r="AW33" i="15"/>
  <c r="AX33" i="15"/>
  <c r="AY33" i="15"/>
  <c r="BB33" i="15"/>
  <c r="BC33" i="15"/>
  <c r="G34" i="15"/>
  <c r="BB34" i="15"/>
  <c r="BC34" i="15"/>
  <c r="G35" i="15"/>
  <c r="AU35" i="15"/>
  <c r="AV35" i="15"/>
  <c r="AW35" i="15"/>
  <c r="AX35" i="15"/>
  <c r="AY35" i="15"/>
  <c r="BB35" i="15"/>
  <c r="BC35" i="15"/>
  <c r="G36" i="15"/>
  <c r="AU36" i="15"/>
  <c r="AV36" i="15"/>
  <c r="AW36" i="15"/>
  <c r="AX36" i="15"/>
  <c r="AY36" i="15"/>
  <c r="BB36" i="15"/>
  <c r="BC36" i="15"/>
  <c r="G37" i="15"/>
  <c r="AU37" i="15"/>
  <c r="AV37" i="15"/>
  <c r="AW37" i="15"/>
  <c r="AX37" i="15"/>
  <c r="AY37" i="15"/>
  <c r="AY650" i="35" s="1"/>
  <c r="BB37" i="15"/>
  <c r="BC37" i="15"/>
  <c r="BB123" i="15"/>
  <c r="BB129" i="15"/>
  <c r="BB135" i="15"/>
  <c r="BB139" i="15"/>
  <c r="BB140" i="15"/>
  <c r="BB225" i="15"/>
  <c r="BB143" i="15"/>
  <c r="BB144" i="15"/>
  <c r="BB145" i="15"/>
  <c r="BB146" i="15"/>
  <c r="BB147" i="15"/>
  <c r="BB148" i="15"/>
  <c r="BB125" i="15"/>
  <c r="BB131" i="15"/>
  <c r="BB126" i="15"/>
  <c r="BB132" i="15"/>
  <c r="BB137" i="15"/>
  <c r="BB141" i="15"/>
  <c r="BB127" i="15"/>
  <c r="BB133" i="15"/>
  <c r="BC129" i="15"/>
  <c r="BC135" i="15"/>
  <c r="BC139" i="15"/>
  <c r="BC140" i="15"/>
  <c r="BC143" i="15"/>
  <c r="BC144" i="15"/>
  <c r="BC145" i="15"/>
  <c r="BC146" i="15"/>
  <c r="BC147" i="15"/>
  <c r="BC148" i="15"/>
  <c r="BC125" i="15"/>
  <c r="BC131" i="15"/>
  <c r="BC126" i="15"/>
  <c r="BC132" i="15"/>
  <c r="BC137" i="15"/>
  <c r="BC141" i="15"/>
  <c r="BC127" i="15"/>
  <c r="BC133" i="15"/>
  <c r="G41" i="25"/>
  <c r="AY20" i="25"/>
  <c r="AX20" i="25"/>
  <c r="AW20" i="25"/>
  <c r="AV20" i="25"/>
  <c r="AU20" i="25"/>
  <c r="BB27" i="11"/>
  <c r="BC95" i="11"/>
  <c r="BC94" i="11"/>
  <c r="BC93" i="11"/>
  <c r="BB95" i="11"/>
  <c r="BB94" i="11"/>
  <c r="BB93" i="11"/>
  <c r="BC590" i="14"/>
  <c r="BB590" i="14"/>
  <c r="AW82" i="40" l="1"/>
  <c r="AX82" i="40"/>
  <c r="AV82" i="40"/>
  <c r="AU82" i="40"/>
  <c r="AY82" i="40"/>
  <c r="AV649" i="35"/>
  <c r="AU648" i="35"/>
  <c r="AX646" i="35"/>
  <c r="AX645" i="35"/>
  <c r="AV650" i="35"/>
  <c r="AY645" i="35"/>
  <c r="AU649" i="35"/>
  <c r="AW646" i="35"/>
  <c r="AW645" i="35"/>
  <c r="AV646" i="35"/>
  <c r="AV645" i="35"/>
  <c r="AY649" i="35"/>
  <c r="AY648" i="35"/>
  <c r="AY646" i="35"/>
  <c r="AU650" i="35"/>
  <c r="AU646" i="35"/>
  <c r="AX650" i="35"/>
  <c r="AX649" i="35"/>
  <c r="AX648" i="35"/>
  <c r="AV648" i="35"/>
  <c r="AU645" i="35"/>
  <c r="AW650" i="35"/>
  <c r="AW649" i="35"/>
  <c r="AW648" i="35"/>
  <c r="AB160" i="15"/>
  <c r="AB164" i="15" s="1"/>
  <c r="AB166" i="15" s="1"/>
  <c r="AA160" i="15"/>
  <c r="AA164" i="15" s="1"/>
  <c r="AA166" i="15" s="1"/>
  <c r="Z160" i="15"/>
  <c r="Z164" i="15" s="1"/>
  <c r="Z166" i="15" s="1"/>
  <c r="Y160" i="15"/>
  <c r="Y164" i="15" s="1"/>
  <c r="Y166" i="15" s="1"/>
  <c r="X160" i="15"/>
  <c r="X164" i="15" s="1"/>
  <c r="X166" i="15" s="1"/>
  <c r="W160" i="15"/>
  <c r="W164" i="15" s="1"/>
  <c r="W166" i="15" s="1"/>
  <c r="V160" i="15"/>
  <c r="V164" i="15" s="1"/>
  <c r="V166" i="15" s="1"/>
  <c r="AV83" i="40" l="1"/>
  <c r="AX83" i="40"/>
  <c r="AW83" i="40"/>
  <c r="AY83" i="40"/>
  <c r="AU83" i="40"/>
  <c r="Y165" i="15"/>
  <c r="V165" i="15"/>
  <c r="W165" i="15"/>
  <c r="X165" i="15"/>
  <c r="Z165" i="15"/>
  <c r="AA165" i="15"/>
  <c r="AB165" i="15"/>
  <c r="G105" i="11"/>
  <c r="G104" i="11"/>
  <c r="G101" i="11"/>
  <c r="G100" i="11"/>
  <c r="G99" i="11"/>
  <c r="G98" i="11"/>
  <c r="G95" i="11"/>
  <c r="G94" i="11"/>
  <c r="G89" i="11"/>
  <c r="G85" i="11"/>
  <c r="G84" i="11"/>
  <c r="G82" i="11"/>
  <c r="G81" i="11"/>
  <c r="G80" i="11"/>
  <c r="G77" i="11"/>
  <c r="G76" i="11"/>
  <c r="G75" i="11"/>
  <c r="G74" i="11"/>
  <c r="G71" i="11"/>
  <c r="G70" i="11"/>
  <c r="G57" i="11"/>
  <c r="G50" i="11"/>
  <c r="G43" i="11"/>
  <c r="G36" i="11"/>
  <c r="G35" i="11"/>
  <c r="G34" i="11"/>
  <c r="G33" i="11"/>
  <c r="G32" i="11"/>
  <c r="G31" i="11"/>
  <c r="G30" i="11"/>
  <c r="G11" i="11"/>
  <c r="G10" i="11"/>
  <c r="G21" i="11"/>
  <c r="G23" i="11"/>
  <c r="G20" i="11"/>
  <c r="G18" i="11"/>
  <c r="G17" i="11"/>
  <c r="G24" i="11"/>
  <c r="G13" i="11"/>
  <c r="G123" i="13"/>
  <c r="G122" i="13"/>
  <c r="G118" i="13"/>
  <c r="G117" i="13"/>
  <c r="G116" i="13"/>
  <c r="G114" i="13"/>
  <c r="G113" i="13"/>
  <c r="G112" i="13"/>
  <c r="G111" i="13"/>
  <c r="G110" i="13"/>
  <c r="G108" i="13"/>
  <c r="G102" i="13"/>
  <c r="G76" i="13"/>
  <c r="G70" i="13"/>
  <c r="G66" i="13"/>
  <c r="G65" i="13"/>
  <c r="G64" i="13"/>
  <c r="G63" i="13"/>
  <c r="G62" i="13"/>
  <c r="G61" i="13"/>
  <c r="G60" i="13"/>
  <c r="G59" i="13"/>
  <c r="G58" i="13"/>
  <c r="G55" i="13"/>
  <c r="G54" i="13"/>
  <c r="G53" i="13"/>
  <c r="G52" i="13"/>
  <c r="G51" i="13"/>
  <c r="G50" i="13"/>
  <c r="G49" i="13"/>
  <c r="G48" i="13"/>
  <c r="G47" i="13"/>
  <c r="G46" i="13"/>
  <c r="G45" i="13"/>
  <c r="G44" i="13"/>
  <c r="G43" i="13"/>
  <c r="G20" i="13"/>
  <c r="G18" i="13"/>
  <c r="G16" i="13"/>
  <c r="G14" i="13"/>
  <c r="G12" i="13"/>
  <c r="G9" i="13"/>
  <c r="G26" i="13"/>
  <c r="G23" i="13"/>
  <c r="G25" i="13"/>
  <c r="G22" i="13"/>
  <c r="G19" i="13"/>
  <c r="G17" i="13"/>
  <c r="G101" i="9"/>
  <c r="G100" i="9"/>
  <c r="G99" i="9"/>
  <c r="G98" i="9"/>
  <c r="G97" i="9"/>
  <c r="G94" i="9"/>
  <c r="G93" i="9"/>
  <c r="G92" i="9"/>
  <c r="G91" i="9"/>
  <c r="G90" i="9"/>
  <c r="G87" i="9"/>
  <c r="G86" i="9"/>
  <c r="G85" i="9"/>
  <c r="G84" i="9"/>
  <c r="G83" i="9"/>
  <c r="G80" i="9"/>
  <c r="G79" i="9"/>
  <c r="G78" i="9"/>
  <c r="G77" i="9"/>
  <c r="G76" i="9"/>
  <c r="G75" i="9"/>
  <c r="G73" i="9"/>
  <c r="G72" i="9"/>
  <c r="G71" i="9"/>
  <c r="G70" i="9"/>
  <c r="G69" i="9"/>
  <c r="G68" i="9"/>
  <c r="G67" i="9"/>
  <c r="G66" i="9"/>
  <c r="G63" i="9"/>
  <c r="G62" i="9"/>
  <c r="G61" i="9"/>
  <c r="G60" i="9"/>
  <c r="G59" i="9"/>
  <c r="G58" i="9"/>
  <c r="G56" i="9"/>
  <c r="G55" i="9"/>
  <c r="G54" i="9"/>
  <c r="G53" i="9"/>
  <c r="G52" i="9"/>
  <c r="G51" i="9"/>
  <c r="G50" i="9"/>
  <c r="G49" i="9"/>
  <c r="G32" i="9"/>
  <c r="G31" i="9"/>
  <c r="G28" i="9"/>
  <c r="G23" i="9"/>
  <c r="G18" i="9"/>
  <c r="G24" i="9"/>
  <c r="G19" i="9"/>
  <c r="G52" i="8"/>
  <c r="G49" i="8"/>
  <c r="G47" i="8"/>
  <c r="G30" i="8"/>
  <c r="G29" i="8"/>
  <c r="G28" i="8"/>
  <c r="G27" i="8"/>
  <c r="G26" i="8"/>
  <c r="G25" i="8"/>
  <c r="G20" i="8"/>
  <c r="G331" i="27"/>
  <c r="G330" i="27"/>
  <c r="G327" i="27"/>
  <c r="G326" i="27"/>
  <c r="G325" i="27"/>
  <c r="G324" i="27"/>
  <c r="G321" i="27"/>
  <c r="G320" i="27"/>
  <c r="G315" i="27"/>
  <c r="G311" i="27"/>
  <c r="G310" i="27"/>
  <c r="G308" i="27"/>
  <c r="G307" i="27"/>
  <c r="G306" i="27"/>
  <c r="G303" i="27"/>
  <c r="G302" i="27"/>
  <c r="G301" i="27"/>
  <c r="G300" i="27"/>
  <c r="G297" i="27"/>
  <c r="G296" i="27"/>
  <c r="G283" i="27"/>
  <c r="G276" i="27"/>
  <c r="G269" i="27"/>
  <c r="G262" i="27"/>
  <c r="G261" i="27"/>
  <c r="G260" i="27"/>
  <c r="G259" i="27"/>
  <c r="G258" i="27"/>
  <c r="G257" i="27"/>
  <c r="G256" i="27"/>
  <c r="G237" i="27"/>
  <c r="G236" i="27"/>
  <c r="G247" i="27"/>
  <c r="G249" i="27"/>
  <c r="G246" i="27"/>
  <c r="G244" i="27"/>
  <c r="G250" i="27"/>
  <c r="G239" i="27"/>
  <c r="G228" i="27"/>
  <c r="G227" i="27"/>
  <c r="G226" i="27"/>
  <c r="G225" i="27"/>
  <c r="G224" i="27"/>
  <c r="G221" i="27"/>
  <c r="G220" i="27"/>
  <c r="G219" i="27"/>
  <c r="G218" i="27"/>
  <c r="G217" i="27"/>
  <c r="G214" i="27"/>
  <c r="G213" i="27"/>
  <c r="G212" i="27"/>
  <c r="G211" i="27"/>
  <c r="G210" i="27"/>
  <c r="G207" i="27"/>
  <c r="G206" i="27"/>
  <c r="G205" i="27"/>
  <c r="G204" i="27"/>
  <c r="G203" i="27"/>
  <c r="G202" i="27"/>
  <c r="G200" i="27"/>
  <c r="G199" i="27"/>
  <c r="G198" i="27"/>
  <c r="G197" i="27"/>
  <c r="G196" i="27"/>
  <c r="G195" i="27"/>
  <c r="G194" i="27"/>
  <c r="G193" i="27"/>
  <c r="G190" i="27"/>
  <c r="G189" i="27"/>
  <c r="G188" i="27"/>
  <c r="G187" i="27"/>
  <c r="G186" i="27"/>
  <c r="G185" i="27"/>
  <c r="G183" i="27"/>
  <c r="G182" i="27"/>
  <c r="G181" i="27"/>
  <c r="G180" i="27"/>
  <c r="G179" i="27"/>
  <c r="G178" i="27"/>
  <c r="G177" i="27"/>
  <c r="G176" i="27"/>
  <c r="G158" i="27"/>
  <c r="G157" i="27"/>
  <c r="G154" i="27"/>
  <c r="G150" i="27"/>
  <c r="G149" i="27"/>
  <c r="G145" i="27"/>
  <c r="G144" i="27"/>
  <c r="G128" i="27"/>
  <c r="G127" i="27"/>
  <c r="G124" i="27"/>
  <c r="G122" i="27"/>
  <c r="G117" i="27"/>
  <c r="G116" i="27"/>
  <c r="G115" i="27"/>
  <c r="G114" i="27"/>
  <c r="G113" i="27"/>
  <c r="G112" i="27"/>
  <c r="G109" i="27"/>
  <c r="G108" i="27"/>
  <c r="G107" i="27"/>
  <c r="G106" i="27"/>
  <c r="G105" i="27"/>
  <c r="G104" i="27"/>
  <c r="G27" i="25"/>
  <c r="G26" i="25"/>
  <c r="G75" i="25"/>
  <c r="G70" i="25"/>
  <c r="G114" i="25"/>
  <c r="G113" i="25"/>
  <c r="G112" i="25"/>
  <c r="G116" i="25"/>
  <c r="G83" i="25"/>
  <c r="G82" i="25"/>
  <c r="G79" i="25"/>
  <c r="G74" i="25"/>
  <c r="G69" i="25"/>
  <c r="G232" i="15"/>
  <c r="G130" i="15"/>
  <c r="G124" i="15"/>
  <c r="G223" i="15"/>
  <c r="G222" i="15"/>
  <c r="G221" i="15"/>
  <c r="G225" i="15"/>
  <c r="G140" i="15"/>
  <c r="G139" i="15"/>
  <c r="G135" i="15"/>
  <c r="G129" i="15"/>
  <c r="G123" i="15"/>
  <c r="G16" i="15"/>
  <c r="G57" i="26"/>
  <c r="G56" i="26"/>
  <c r="G52" i="26"/>
  <c r="G51" i="26"/>
  <c r="G50" i="26"/>
  <c r="G49" i="26"/>
  <c r="G54" i="26"/>
  <c r="G53" i="26"/>
  <c r="G47" i="26"/>
  <c r="G46" i="26"/>
  <c r="G14" i="26"/>
  <c r="G13" i="26"/>
  <c r="G556" i="14"/>
  <c r="G555" i="14"/>
  <c r="G77" i="14"/>
  <c r="G76" i="14"/>
  <c r="G72" i="14"/>
  <c r="G71" i="14"/>
  <c r="G70" i="14"/>
  <c r="G69" i="14"/>
  <c r="G74" i="14"/>
  <c r="G73" i="14"/>
  <c r="G67" i="14"/>
  <c r="G66" i="14"/>
  <c r="G65" i="14"/>
  <c r="G34" i="14"/>
  <c r="G32" i="14"/>
  <c r="G33" i="14"/>
  <c r="G31" i="14"/>
  <c r="G28" i="14"/>
  <c r="G29" i="14"/>
  <c r="D35" i="4" a="1"/>
  <c r="D35" i="4" l="1"/>
  <c r="BC71" i="11" l="1"/>
  <c r="BB71" i="11"/>
  <c r="BC70" i="11"/>
  <c r="BB70" i="11"/>
  <c r="BC69" i="11"/>
  <c r="BB69" i="11"/>
  <c r="BB50" i="11"/>
  <c r="A1" i="8" a="1"/>
  <c r="A1" i="8" s="1"/>
  <c r="BC92" i="2"/>
  <c r="BB92" i="2"/>
  <c r="BC93" i="2"/>
  <c r="BB93" i="2"/>
  <c r="BC86" i="2"/>
  <c r="BB86" i="2"/>
  <c r="BC76" i="2"/>
  <c r="BB76" i="2"/>
  <c r="BC66" i="2"/>
  <c r="BB66" i="2"/>
  <c r="BC58" i="2"/>
  <c r="BB58" i="2"/>
  <c r="BC50" i="2"/>
  <c r="BB50" i="2"/>
  <c r="BC28" i="15"/>
  <c r="BB28" i="15"/>
  <c r="BD201" i="15"/>
  <c r="BD144" i="26"/>
  <c r="BC144" i="26"/>
  <c r="BB144" i="26"/>
  <c r="BC591" i="14"/>
  <c r="BB591" i="14"/>
  <c r="BC509" i="14"/>
  <c r="BC508" i="14"/>
  <c r="BB517" i="14"/>
  <c r="BB504" i="14"/>
  <c r="BB509" i="14"/>
  <c r="BB508" i="14"/>
  <c r="BC45" i="14"/>
  <c r="BB45" i="14"/>
  <c r="AU231" i="15"/>
  <c r="AV231" i="15"/>
  <c r="AW231" i="15"/>
  <c r="AX231" i="15"/>
  <c r="AY231" i="15"/>
  <c r="BB231" i="15"/>
  <c r="BC231" i="15"/>
  <c r="BB232" i="15"/>
  <c r="BC232" i="15"/>
  <c r="BB233" i="15"/>
  <c r="BC233" i="15"/>
  <c r="AU214" i="15"/>
  <c r="AV214" i="15"/>
  <c r="AW214" i="15"/>
  <c r="AX214" i="15"/>
  <c r="AY214" i="15"/>
  <c r="BB214" i="15"/>
  <c r="BC214" i="15"/>
  <c r="AU215" i="15"/>
  <c r="AV215" i="15"/>
  <c r="AW215" i="15"/>
  <c r="AX215" i="15"/>
  <c r="AY215" i="15"/>
  <c r="BB215" i="15"/>
  <c r="BC215" i="15"/>
  <c r="AU216" i="15"/>
  <c r="AV216" i="15"/>
  <c r="AW216" i="15"/>
  <c r="AX216" i="15"/>
  <c r="AY216" i="15"/>
  <c r="BB216" i="15"/>
  <c r="BC216" i="15"/>
  <c r="AU217" i="15"/>
  <c r="AV217" i="15"/>
  <c r="AW217" i="15"/>
  <c r="AX217" i="15"/>
  <c r="AY217" i="15"/>
  <c r="BB217" i="15"/>
  <c r="BC217" i="15"/>
  <c r="BB159" i="15"/>
  <c r="BC159" i="15"/>
  <c r="BD159" i="15"/>
  <c r="AC160" i="15"/>
  <c r="AC164" i="15" s="1"/>
  <c r="AC166" i="15" s="1"/>
  <c r="AD160" i="15"/>
  <c r="AD164" i="15" s="1"/>
  <c r="AD166" i="15" s="1"/>
  <c r="AE160" i="15"/>
  <c r="AE164" i="15" s="1"/>
  <c r="AE166" i="15" s="1"/>
  <c r="AF160" i="15"/>
  <c r="AF164" i="15" s="1"/>
  <c r="AF166" i="15" s="1"/>
  <c r="AG160" i="15"/>
  <c r="AG164" i="15" s="1"/>
  <c r="AG166" i="15" s="1"/>
  <c r="AH160" i="15"/>
  <c r="AH164" i="15" s="1"/>
  <c r="AH166" i="15" s="1"/>
  <c r="AI160" i="15"/>
  <c r="AI164" i="15" s="1"/>
  <c r="AI166" i="15" s="1"/>
  <c r="AJ160" i="15"/>
  <c r="AJ164" i="15" s="1"/>
  <c r="AJ166" i="15" s="1"/>
  <c r="AK160" i="15"/>
  <c r="AK164" i="15" s="1"/>
  <c r="AK166" i="15" s="1"/>
  <c r="AL160" i="15"/>
  <c r="AL164" i="15" s="1"/>
  <c r="AL166" i="15" s="1"/>
  <c r="AM160" i="15"/>
  <c r="AM164" i="15" s="1"/>
  <c r="AM166" i="15" s="1"/>
  <c r="AN160" i="15"/>
  <c r="AN164" i="15" s="1"/>
  <c r="AN166" i="15" s="1"/>
  <c r="AO160" i="15"/>
  <c r="AO164" i="15" s="1"/>
  <c r="AO166" i="15" s="1"/>
  <c r="AP160" i="15"/>
  <c r="AQ160" i="15"/>
  <c r="AR160" i="15"/>
  <c r="AS160" i="15"/>
  <c r="AT160" i="15"/>
  <c r="AU160" i="15"/>
  <c r="AV160" i="15"/>
  <c r="AW160" i="15"/>
  <c r="AX160" i="15"/>
  <c r="AY160" i="15"/>
  <c r="BB160" i="15"/>
  <c r="BC160" i="15"/>
  <c r="BD160" i="15"/>
  <c r="AU163" i="15"/>
  <c r="AV163" i="15"/>
  <c r="AW163" i="15"/>
  <c r="AX163" i="15"/>
  <c r="AY163" i="15"/>
  <c r="BB163" i="15"/>
  <c r="BC163" i="15"/>
  <c r="BD163" i="15"/>
  <c r="BB166" i="15"/>
  <c r="BC166" i="15"/>
  <c r="BD166" i="15"/>
  <c r="BB167" i="15"/>
  <c r="BC167" i="15"/>
  <c r="BD167" i="15"/>
  <c r="BB165" i="15"/>
  <c r="BC165" i="15"/>
  <c r="BD165" i="15"/>
  <c r="BB170" i="15"/>
  <c r="BC170" i="15"/>
  <c r="BD170" i="15"/>
  <c r="BB171" i="15"/>
  <c r="BC171" i="15"/>
  <c r="BD171" i="15"/>
  <c r="AU174" i="15"/>
  <c r="AV174" i="15"/>
  <c r="AW174" i="15"/>
  <c r="AX174" i="15"/>
  <c r="AY174" i="15"/>
  <c r="BB174" i="15"/>
  <c r="BC174" i="15"/>
  <c r="AU175" i="15"/>
  <c r="AV175" i="15"/>
  <c r="AW175" i="15"/>
  <c r="AX175" i="15"/>
  <c r="AY175" i="15"/>
  <c r="BB175" i="15"/>
  <c r="BC175" i="15"/>
  <c r="BB176" i="15"/>
  <c r="BC176" i="15"/>
  <c r="AU183" i="15"/>
  <c r="AV183" i="15"/>
  <c r="AW183" i="15"/>
  <c r="AX183" i="15"/>
  <c r="AY183" i="15"/>
  <c r="BB183" i="15"/>
  <c r="BC183" i="15"/>
  <c r="AU184" i="15"/>
  <c r="AV184" i="15"/>
  <c r="AW184" i="15"/>
  <c r="AX184" i="15"/>
  <c r="AY184" i="15"/>
  <c r="BB184" i="15"/>
  <c r="BC184" i="15"/>
  <c r="AU185" i="15"/>
  <c r="AV185" i="15"/>
  <c r="AW185" i="15"/>
  <c r="AX185" i="15"/>
  <c r="AY185" i="15"/>
  <c r="BB185" i="15"/>
  <c r="BC185" i="15"/>
  <c r="AU190" i="15"/>
  <c r="AV190" i="15"/>
  <c r="AW190" i="15"/>
  <c r="AX190" i="15"/>
  <c r="AY190" i="15"/>
  <c r="BB190" i="15"/>
  <c r="BC190" i="15"/>
  <c r="BB187" i="15"/>
  <c r="BC187" i="15"/>
  <c r="BB191" i="15"/>
  <c r="BC191" i="15"/>
  <c r="BB196" i="15"/>
  <c r="BC196" i="15"/>
  <c r="BD196" i="15"/>
  <c r="BB197" i="15"/>
  <c r="BC197" i="15"/>
  <c r="BD197" i="15"/>
  <c r="BB198" i="15"/>
  <c r="BC198" i="15"/>
  <c r="BD198" i="15"/>
  <c r="BB201" i="15"/>
  <c r="BC201" i="15"/>
  <c r="BB206" i="15"/>
  <c r="BC206" i="15"/>
  <c r="BD206" i="15"/>
  <c r="BB207" i="15"/>
  <c r="BC207" i="15"/>
  <c r="BD207" i="15"/>
  <c r="BB208" i="15"/>
  <c r="BC208" i="15"/>
  <c r="BD208" i="15"/>
  <c r="BB209" i="15"/>
  <c r="BC209" i="15"/>
  <c r="BD209" i="15"/>
  <c r="BB210" i="15"/>
  <c r="BC210" i="15"/>
  <c r="BD210" i="15"/>
  <c r="BB7" i="15"/>
  <c r="BB8" i="15"/>
  <c r="BB546" i="14"/>
  <c r="BC546" i="14"/>
  <c r="BD546" i="14"/>
  <c r="BB547" i="14"/>
  <c r="BC547" i="14"/>
  <c r="BD547" i="14"/>
  <c r="BB548" i="14"/>
  <c r="BC548" i="14"/>
  <c r="BD548" i="14"/>
  <c r="BB538" i="14"/>
  <c r="BC538" i="14"/>
  <c r="BB549" i="14"/>
  <c r="BC549" i="14"/>
  <c r="BD549" i="14"/>
  <c r="BB539" i="14"/>
  <c r="BC539" i="14"/>
  <c r="BD539" i="14"/>
  <c r="BB540" i="14"/>
  <c r="BC540" i="14"/>
  <c r="BD540" i="14"/>
  <c r="BB541" i="14"/>
  <c r="BC541" i="14"/>
  <c r="BD541" i="14"/>
  <c r="BB542" i="14"/>
  <c r="BC542" i="14"/>
  <c r="BD542" i="14"/>
  <c r="BB543" i="14"/>
  <c r="BC543" i="14"/>
  <c r="BD543" i="14"/>
  <c r="BB555" i="14"/>
  <c r="BC555" i="14"/>
  <c r="BD555" i="14"/>
  <c r="BB556" i="14"/>
  <c r="BC556" i="14"/>
  <c r="BD556" i="14"/>
  <c r="BB513" i="14"/>
  <c r="BB514" i="14"/>
  <c r="BB586" i="14"/>
  <c r="BC586" i="14"/>
  <c r="BB588" i="14"/>
  <c r="BC588" i="14"/>
  <c r="BB589" i="14"/>
  <c r="BC589" i="14"/>
  <c r="BB599" i="14"/>
  <c r="BC599" i="14"/>
  <c r="BB594" i="14"/>
  <c r="BC594" i="14"/>
  <c r="D24" i="13" a="1"/>
  <c r="D247" i="27" a="1"/>
  <c r="D21" i="11" a="1"/>
  <c r="D22" i="11" a="1"/>
  <c r="D248" i="27" a="1"/>
  <c r="D33" i="27" a="1"/>
  <c r="BA50" i="8" l="1"/>
  <c r="BA41" i="8"/>
  <c r="AU187" i="15"/>
  <c r="AX187" i="15"/>
  <c r="AW187" i="15"/>
  <c r="AV187" i="15"/>
  <c r="AY196" i="15"/>
  <c r="AY7" i="38"/>
  <c r="AX196" i="15"/>
  <c r="AX7" i="38"/>
  <c r="AW196" i="15"/>
  <c r="AW7" i="38"/>
  <c r="AV196" i="15"/>
  <c r="AV7" i="38"/>
  <c r="AU196" i="15"/>
  <c r="AU7" i="38"/>
  <c r="AY187" i="15"/>
  <c r="AD165" i="15"/>
  <c r="AM165" i="15"/>
  <c r="AE165" i="15"/>
  <c r="AK165" i="15"/>
  <c r="AC165" i="15"/>
  <c r="AJ165" i="15"/>
  <c r="AL165" i="15"/>
  <c r="AI165" i="15"/>
  <c r="AH165" i="15"/>
  <c r="AO165" i="15"/>
  <c r="AG165" i="15"/>
  <c r="AN165" i="15"/>
  <c r="AF165" i="15"/>
  <c r="AY28" i="2"/>
  <c r="AX28" i="2"/>
  <c r="AW28" i="2"/>
  <c r="BA20" i="8"/>
  <c r="AX176" i="15"/>
  <c r="BA29" i="8"/>
  <c r="BA36" i="8"/>
  <c r="BA28" i="8"/>
  <c r="BA35" i="8"/>
  <c r="BA45" i="8"/>
  <c r="BA30" i="8"/>
  <c r="BA37" i="8"/>
  <c r="BA47" i="8"/>
  <c r="BA38" i="8"/>
  <c r="BA25" i="8"/>
  <c r="BA49" i="8"/>
  <c r="BA26" i="8"/>
  <c r="BA33" i="8"/>
  <c r="BA21" i="8"/>
  <c r="BA34" i="8"/>
  <c r="BA52" i="8"/>
  <c r="BA27" i="8"/>
  <c r="BA44" i="8"/>
  <c r="BA53" i="8"/>
  <c r="D247" i="27"/>
  <c r="D248" i="27"/>
  <c r="D33" i="27"/>
  <c r="D21" i="11"/>
  <c r="D22" i="11"/>
  <c r="D24" i="13"/>
  <c r="AW176" i="15"/>
  <c r="AU176" i="15"/>
  <c r="AU191" i="15" s="1"/>
  <c r="AU252" i="15" s="1"/>
  <c r="AV255" i="15" s="1"/>
  <c r="AY176" i="15"/>
  <c r="AV176" i="15"/>
  <c r="D7" i="38" a="1"/>
  <c r="AV257" i="15" l="1"/>
  <c r="AV260" i="15" s="1"/>
  <c r="AV21" i="12" s="1"/>
  <c r="D7" i="38"/>
  <c r="AW29" i="2"/>
  <c r="AX29" i="2"/>
  <c r="AY29" i="2"/>
  <c r="AW179" i="15"/>
  <c r="AV179" i="15"/>
  <c r="AY179" i="15"/>
  <c r="AU179" i="15"/>
  <c r="AX179" i="15"/>
  <c r="AV258" i="15" l="1"/>
  <c r="AU28" i="13"/>
  <c r="AU201" i="15"/>
  <c r="AX28" i="13"/>
  <c r="AX201" i="15"/>
  <c r="AY28" i="13"/>
  <c r="AY201" i="15"/>
  <c r="AV28" i="13"/>
  <c r="AV201" i="15"/>
  <c r="AW28" i="13"/>
  <c r="AW201" i="15"/>
  <c r="D28" i="13" a="1"/>
  <c r="AW254" i="15" l="1"/>
  <c r="D28" i="13"/>
  <c r="AX191" i="15"/>
  <c r="AX252" i="15" s="1"/>
  <c r="AV191" i="15"/>
  <c r="AV252" i="15" s="1"/>
  <c r="AW255" i="15" s="1"/>
  <c r="AY191" i="15"/>
  <c r="AY252" i="15" s="1"/>
  <c r="AW191" i="15"/>
  <c r="AW252" i="15" s="1"/>
  <c r="G242" i="27"/>
  <c r="G243" i="27"/>
  <c r="G16" i="11"/>
  <c r="AW257" i="15" l="1"/>
  <c r="AW260" i="15" s="1"/>
  <c r="AW21" i="12" s="1"/>
  <c r="AU43" i="13"/>
  <c r="AW258" i="15" l="1"/>
  <c r="Y62" i="15"/>
  <c r="Y7" i="22" s="1"/>
  <c r="Z62" i="15"/>
  <c r="Z7" i="22" s="1"/>
  <c r="AA62" i="15"/>
  <c r="AA7" i="22" s="1"/>
  <c r="AB62" i="15"/>
  <c r="AB7" i="22" s="1"/>
  <c r="AC62" i="15"/>
  <c r="AC7" i="22" s="1"/>
  <c r="AD62" i="15"/>
  <c r="AD7" i="22" s="1"/>
  <c r="AE62" i="15"/>
  <c r="AE7" i="22" s="1"/>
  <c r="AF62" i="15"/>
  <c r="AF7" i="22" s="1"/>
  <c r="AG62" i="15"/>
  <c r="AG7" i="22" s="1"/>
  <c r="Y63" i="15"/>
  <c r="Y8" i="22" s="1"/>
  <c r="Z63" i="15"/>
  <c r="Z8" i="22" s="1"/>
  <c r="AA63" i="15"/>
  <c r="AA8" i="22" s="1"/>
  <c r="AB63" i="15"/>
  <c r="AB8" i="22" s="1"/>
  <c r="AC63" i="15"/>
  <c r="AC8" i="22" s="1"/>
  <c r="AD63" i="15"/>
  <c r="AD8" i="22" s="1"/>
  <c r="AE63" i="15"/>
  <c r="AE8" i="22" s="1"/>
  <c r="AF63" i="15"/>
  <c r="AF8" i="22" s="1"/>
  <c r="AG63" i="15"/>
  <c r="AG8" i="22" s="1"/>
  <c r="AH47" i="15"/>
  <c r="D7" i="22" a="1"/>
  <c r="D8" i="22" a="1"/>
  <c r="AX254" i="15" l="1"/>
  <c r="AX255" i="15"/>
  <c r="AG17" i="22"/>
  <c r="Z17" i="22"/>
  <c r="AC17" i="22"/>
  <c r="AB17" i="22"/>
  <c r="AD17" i="22"/>
  <c r="AA17" i="22"/>
  <c r="AF17" i="22"/>
  <c r="D8" i="22"/>
  <c r="D7" i="22"/>
  <c r="AE17" i="22"/>
  <c r="Y17" i="22"/>
  <c r="AH15" i="32"/>
  <c r="AU151" i="15"/>
  <c r="AV151" i="15"/>
  <c r="AW151" i="15"/>
  <c r="AX151" i="15"/>
  <c r="AY151" i="15"/>
  <c r="AU152" i="15"/>
  <c r="AV152" i="15"/>
  <c r="AW152" i="15"/>
  <c r="AX152" i="15"/>
  <c r="AY152" i="15"/>
  <c r="D15" i="32" a="1"/>
  <c r="AX257" i="15" l="1"/>
  <c r="AX258" i="15" s="1"/>
  <c r="D15" i="32"/>
  <c r="AV153" i="15"/>
  <c r="AV154" i="15" s="1"/>
  <c r="AW153" i="15"/>
  <c r="AW154" i="15" s="1"/>
  <c r="AU153" i="15"/>
  <c r="AU154" i="15" s="1"/>
  <c r="AY153" i="15"/>
  <c r="AY154" i="15" s="1"/>
  <c r="AX153" i="15"/>
  <c r="AX154" i="15" s="1"/>
  <c r="I61" i="25"/>
  <c r="I59" i="25"/>
  <c r="I58" i="25"/>
  <c r="AX260" i="15" l="1"/>
  <c r="AX21" i="12" s="1"/>
  <c r="AY254" i="15"/>
  <c r="AY255" i="15"/>
  <c r="AY197" i="15"/>
  <c r="AX197" i="15"/>
  <c r="AW197" i="15"/>
  <c r="AV197" i="15"/>
  <c r="AU197" i="15"/>
  <c r="AY257" i="15" l="1"/>
  <c r="AU198" i="15"/>
  <c r="AU208" i="15" s="1"/>
  <c r="AV198" i="15"/>
  <c r="AV208" i="15" s="1"/>
  <c r="AW198" i="15"/>
  <c r="AW208" i="15" s="1"/>
  <c r="AX198" i="15"/>
  <c r="AX208" i="15" s="1"/>
  <c r="AY198" i="15"/>
  <c r="AY208" i="15" s="1"/>
  <c r="AY258" i="15" l="1"/>
  <c r="AY260" i="15"/>
  <c r="AY21" i="12" s="1"/>
  <c r="BB16" i="29"/>
  <c r="G16" i="29"/>
  <c r="BB15" i="29"/>
  <c r="G15" i="29"/>
  <c r="BB14" i="29"/>
  <c r="G14" i="29"/>
  <c r="BB13" i="29"/>
  <c r="G13" i="29"/>
  <c r="BB12" i="29"/>
  <c r="G12" i="29"/>
  <c r="BB11" i="29"/>
  <c r="G11" i="29"/>
  <c r="BB10" i="29"/>
  <c r="G10" i="29"/>
  <c r="BB9" i="29"/>
  <c r="G9" i="29"/>
  <c r="BB8" i="29"/>
  <c r="G8" i="29"/>
  <c r="BB7" i="29"/>
  <c r="G7" i="29"/>
  <c r="A1" i="29" a="1"/>
  <c r="A1" i="29" s="1"/>
  <c r="BA7" i="29" l="1"/>
  <c r="BA16" i="29"/>
  <c r="BA8" i="29"/>
  <c r="BA15" i="29"/>
  <c r="BA14" i="29"/>
  <c r="BA13" i="29"/>
  <c r="BA12" i="29"/>
  <c r="BA11" i="29"/>
  <c r="BA10" i="29"/>
  <c r="BA9" i="29"/>
  <c r="G96" i="2" l="1"/>
  <c r="G12" i="11" l="1"/>
  <c r="G14" i="11"/>
  <c r="G15" i="11"/>
  <c r="AY109" i="15" l="1"/>
  <c r="AX109" i="15"/>
  <c r="AW109" i="15"/>
  <c r="AV109" i="15"/>
  <c r="AU109" i="15"/>
  <c r="AY104" i="15"/>
  <c r="AX104" i="15"/>
  <c r="AW104" i="15"/>
  <c r="AV104" i="15"/>
  <c r="AU104" i="15"/>
  <c r="BD122" i="13" l="1"/>
  <c r="BB122" i="13"/>
  <c r="BD123" i="13"/>
  <c r="BB123" i="13"/>
  <c r="BD121" i="13"/>
  <c r="BB121" i="13"/>
  <c r="BC70" i="13"/>
  <c r="BB70" i="13"/>
  <c r="BB65" i="13"/>
  <c r="BB66" i="13"/>
  <c r="BB63" i="13"/>
  <c r="BB54" i="13"/>
  <c r="BB52" i="13"/>
  <c r="BB50" i="13"/>
  <c r="BB47" i="13"/>
  <c r="BB21" i="8"/>
  <c r="BB20" i="8"/>
  <c r="BD331" i="27"/>
  <c r="BC331" i="27"/>
  <c r="BB331" i="27"/>
  <c r="BD330" i="27"/>
  <c r="BC330" i="27"/>
  <c r="BB330" i="27"/>
  <c r="BD327" i="27"/>
  <c r="BC327" i="27"/>
  <c r="BB327" i="27"/>
  <c r="BD326" i="27"/>
  <c r="BC326" i="27"/>
  <c r="BB326" i="27"/>
  <c r="BD325" i="27"/>
  <c r="BC325" i="27"/>
  <c r="BB325" i="27"/>
  <c r="BD324" i="27"/>
  <c r="BC324" i="27"/>
  <c r="BB324" i="27"/>
  <c r="BD315" i="27"/>
  <c r="BC315" i="27"/>
  <c r="BB315" i="27"/>
  <c r="BD311" i="27"/>
  <c r="BC311" i="27"/>
  <c r="BB311" i="27"/>
  <c r="BD310" i="27"/>
  <c r="BC310" i="27"/>
  <c r="BB310" i="27"/>
  <c r="BD308" i="27"/>
  <c r="BC308" i="27"/>
  <c r="BB308" i="27"/>
  <c r="BD307" i="27"/>
  <c r="BC307" i="27"/>
  <c r="BB307" i="27"/>
  <c r="BD306" i="27"/>
  <c r="BC306" i="27"/>
  <c r="BB306" i="27"/>
  <c r="BD303" i="27"/>
  <c r="BC303" i="27"/>
  <c r="BB303" i="27"/>
  <c r="BD302" i="27"/>
  <c r="BC302" i="27"/>
  <c r="BB302" i="27"/>
  <c r="BD301" i="27"/>
  <c r="BC301" i="27"/>
  <c r="BB301" i="27"/>
  <c r="BD300" i="27"/>
  <c r="BC300" i="27"/>
  <c r="BB300" i="27"/>
  <c r="BC283" i="27"/>
  <c r="BB283" i="27"/>
  <c r="BC282" i="27"/>
  <c r="BB282" i="27"/>
  <c r="BC280" i="27"/>
  <c r="BB280" i="27"/>
  <c r="BC278" i="27"/>
  <c r="BB278" i="27"/>
  <c r="BC277" i="27"/>
  <c r="BB277" i="27"/>
  <c r="BC269" i="27"/>
  <c r="BB269" i="27"/>
  <c r="BC267" i="27"/>
  <c r="BB267" i="27"/>
  <c r="BC266" i="27"/>
  <c r="BB266" i="27"/>
  <c r="BC265" i="27"/>
  <c r="BB265" i="27"/>
  <c r="BC262" i="27"/>
  <c r="BB262" i="27"/>
  <c r="BC261" i="27"/>
  <c r="BB261" i="27"/>
  <c r="BC260" i="27"/>
  <c r="BB260" i="27"/>
  <c r="BC259" i="27"/>
  <c r="BB259" i="27"/>
  <c r="BC258" i="27"/>
  <c r="BB258" i="27"/>
  <c r="BC257" i="27"/>
  <c r="BB257" i="27"/>
  <c r="BC256" i="27"/>
  <c r="BB256" i="27"/>
  <c r="BD228" i="27"/>
  <c r="BC228" i="27"/>
  <c r="BB228" i="27"/>
  <c r="BD227" i="27"/>
  <c r="BC227" i="27"/>
  <c r="BB227" i="27"/>
  <c r="BD226" i="27"/>
  <c r="BC226" i="27"/>
  <c r="BB226" i="27"/>
  <c r="BD225" i="27"/>
  <c r="BC225" i="27"/>
  <c r="BB225" i="27"/>
  <c r="BD224" i="27"/>
  <c r="BC224" i="27"/>
  <c r="BB224" i="27"/>
  <c r="BD221" i="27"/>
  <c r="BD220" i="27"/>
  <c r="BD219" i="27"/>
  <c r="BD218" i="27"/>
  <c r="BD217" i="27"/>
  <c r="BC221" i="27"/>
  <c r="BB221" i="27"/>
  <c r="BC220" i="27"/>
  <c r="BB220" i="27"/>
  <c r="BC219" i="27"/>
  <c r="BB219" i="27"/>
  <c r="BC218" i="27"/>
  <c r="BB218" i="27"/>
  <c r="BC217" i="27"/>
  <c r="BB217" i="27"/>
  <c r="BD214" i="27"/>
  <c r="BC214" i="27"/>
  <c r="BB214" i="27"/>
  <c r="BD213" i="27"/>
  <c r="BC213" i="27"/>
  <c r="BB213" i="27"/>
  <c r="BD212" i="27"/>
  <c r="BC212" i="27"/>
  <c r="BB212" i="27"/>
  <c r="BD211" i="27"/>
  <c r="BC211" i="27"/>
  <c r="BB211" i="27"/>
  <c r="BD210" i="27"/>
  <c r="BC210" i="27"/>
  <c r="BB210" i="27"/>
  <c r="BD207" i="27"/>
  <c r="BC207" i="27"/>
  <c r="BB207" i="27"/>
  <c r="BD206" i="27"/>
  <c r="BC206" i="27"/>
  <c r="BB206" i="27"/>
  <c r="BD205" i="27"/>
  <c r="BC205" i="27"/>
  <c r="BB205" i="27"/>
  <c r="BD204" i="27"/>
  <c r="BC204" i="27"/>
  <c r="BB204" i="27"/>
  <c r="BD203" i="27"/>
  <c r="BC203" i="27"/>
  <c r="BB203" i="27"/>
  <c r="BD202" i="27"/>
  <c r="BC202" i="27"/>
  <c r="BB202" i="27"/>
  <c r="BD200" i="27"/>
  <c r="BC200" i="27"/>
  <c r="BB200" i="27"/>
  <c r="BD199" i="27"/>
  <c r="BC199" i="27"/>
  <c r="BB199" i="27"/>
  <c r="BD198" i="27"/>
  <c r="BC198" i="27"/>
  <c r="BB198" i="27"/>
  <c r="BD197" i="27"/>
  <c r="BC197" i="27"/>
  <c r="BB197" i="27"/>
  <c r="BD196" i="27"/>
  <c r="BC196" i="27"/>
  <c r="BB196" i="27"/>
  <c r="BD195" i="27"/>
  <c r="BC195" i="27"/>
  <c r="BB195" i="27"/>
  <c r="BD194" i="27"/>
  <c r="BC194" i="27"/>
  <c r="BB194" i="27"/>
  <c r="BD193" i="27"/>
  <c r="BC193" i="27"/>
  <c r="BB193" i="27"/>
  <c r="BD190" i="27"/>
  <c r="BD189" i="27"/>
  <c r="BD188" i="27"/>
  <c r="BD187" i="27"/>
  <c r="BD186" i="27"/>
  <c r="BD185" i="27"/>
  <c r="BD183" i="27"/>
  <c r="BD182" i="27"/>
  <c r="BD181" i="27"/>
  <c r="BD180" i="27"/>
  <c r="BD179" i="27"/>
  <c r="BD178" i="27"/>
  <c r="BD177" i="27"/>
  <c r="BD176" i="27"/>
  <c r="BC190" i="27"/>
  <c r="BB190" i="27"/>
  <c r="BC189" i="27"/>
  <c r="BB189" i="27"/>
  <c r="BC188" i="27"/>
  <c r="BB188" i="27"/>
  <c r="BC187" i="27"/>
  <c r="BB187" i="27"/>
  <c r="BC186" i="27"/>
  <c r="BB186" i="27"/>
  <c r="BC185" i="27"/>
  <c r="BB185" i="27"/>
  <c r="BC183" i="27"/>
  <c r="BB183" i="27"/>
  <c r="BC182" i="27"/>
  <c r="BB182" i="27"/>
  <c r="BC181" i="27"/>
  <c r="BB181" i="27"/>
  <c r="BC180" i="27"/>
  <c r="BB180" i="27"/>
  <c r="BC179" i="27"/>
  <c r="BB179" i="27"/>
  <c r="BC178" i="27"/>
  <c r="BB178" i="27"/>
  <c r="BC177" i="27"/>
  <c r="BB177" i="27"/>
  <c r="BB176" i="27"/>
  <c r="BC176" i="27"/>
  <c r="BC172" i="27"/>
  <c r="BC170" i="27"/>
  <c r="BC169" i="27"/>
  <c r="BC168" i="27"/>
  <c r="BC167" i="27"/>
  <c r="BC166" i="27"/>
  <c r="BB172" i="27"/>
  <c r="BB170" i="27"/>
  <c r="BB169" i="27"/>
  <c r="BB168" i="27"/>
  <c r="BB167" i="27"/>
  <c r="BB166" i="27"/>
  <c r="BC163" i="27"/>
  <c r="BB163" i="27"/>
  <c r="BC162" i="27"/>
  <c r="BB162" i="27"/>
  <c r="BC128" i="27"/>
  <c r="BB128" i="27"/>
  <c r="BC127" i="27"/>
  <c r="BB127" i="27"/>
  <c r="BC124" i="27"/>
  <c r="BB124" i="27"/>
  <c r="BC122" i="27"/>
  <c r="BB122" i="27"/>
  <c r="BC120" i="27"/>
  <c r="BB120" i="27"/>
  <c r="BD117" i="27"/>
  <c r="BC117" i="27"/>
  <c r="BB117" i="27"/>
  <c r="BD116" i="27"/>
  <c r="BC116" i="27"/>
  <c r="BB116" i="27"/>
  <c r="BD115" i="27"/>
  <c r="BC115" i="27"/>
  <c r="BB115" i="27"/>
  <c r="BD114" i="27"/>
  <c r="BC114" i="27"/>
  <c r="BB114" i="27"/>
  <c r="BD113" i="27"/>
  <c r="BC113" i="27"/>
  <c r="BB113" i="27"/>
  <c r="BD112" i="27"/>
  <c r="BC112" i="27"/>
  <c r="BB112" i="27"/>
  <c r="BD109" i="27"/>
  <c r="BC109" i="27"/>
  <c r="BB109" i="27"/>
  <c r="BD108" i="27"/>
  <c r="BC108" i="27"/>
  <c r="BB108" i="27"/>
  <c r="BD107" i="27"/>
  <c r="BC107" i="27"/>
  <c r="BB107" i="27"/>
  <c r="BD106" i="27"/>
  <c r="BC106" i="27"/>
  <c r="BB106" i="27"/>
  <c r="BD105" i="27"/>
  <c r="BC105" i="27"/>
  <c r="BB105" i="27"/>
  <c r="BD104" i="27"/>
  <c r="BC104" i="27"/>
  <c r="BB104" i="27"/>
  <c r="BC42" i="27"/>
  <c r="BB42" i="27"/>
  <c r="BC41" i="27"/>
  <c r="BB41" i="27"/>
  <c r="BC39" i="27"/>
  <c r="BB39" i="27"/>
  <c r="BC38" i="27"/>
  <c r="BB38" i="27"/>
  <c r="BC37" i="27"/>
  <c r="BB37" i="27"/>
  <c r="BC27" i="27"/>
  <c r="BB27" i="27"/>
  <c r="BC26" i="27"/>
  <c r="BB26" i="27"/>
  <c r="BC25" i="27"/>
  <c r="BB25" i="27"/>
  <c r="BC22" i="27"/>
  <c r="BB22" i="27"/>
  <c r="BC21" i="27"/>
  <c r="BB21" i="27"/>
  <c r="BC20" i="27"/>
  <c r="BB20" i="27"/>
  <c r="BB27" i="25"/>
  <c r="BB77" i="25"/>
  <c r="BB89" i="25"/>
  <c r="BB90" i="25"/>
  <c r="BB88" i="25"/>
  <c r="BB87" i="25"/>
  <c r="BB86" i="25"/>
  <c r="BB85" i="25"/>
  <c r="BB83" i="25"/>
  <c r="BB82" i="25"/>
  <c r="BB79" i="25"/>
  <c r="BB74" i="25"/>
  <c r="BB69" i="25"/>
  <c r="BB62" i="25"/>
  <c r="BB59" i="25"/>
  <c r="BB58" i="25"/>
  <c r="BB56" i="25"/>
  <c r="BB49" i="25"/>
  <c r="BB48" i="25"/>
  <c r="BB51" i="25"/>
  <c r="BB47" i="25"/>
  <c r="BB45" i="25"/>
  <c r="BB41" i="25"/>
  <c r="BC63" i="15"/>
  <c r="BB63" i="15"/>
  <c r="BC62" i="15"/>
  <c r="BB62" i="15"/>
  <c r="BC61" i="15"/>
  <c r="BB61" i="15"/>
  <c r="BC123" i="15"/>
  <c r="BB118" i="15"/>
  <c r="BC24" i="15"/>
  <c r="BB24" i="15"/>
  <c r="BC16" i="15"/>
  <c r="BB16" i="15"/>
  <c r="BD143" i="26"/>
  <c r="BD142" i="26"/>
  <c r="BC143" i="26"/>
  <c r="BC142" i="26"/>
  <c r="BB143" i="26"/>
  <c r="BB142" i="26"/>
  <c r="BC33" i="26"/>
  <c r="BB33" i="26"/>
  <c r="BC27" i="26"/>
  <c r="BB27" i="26"/>
  <c r="BC29" i="26"/>
  <c r="BB29" i="26"/>
  <c r="BC26" i="26"/>
  <c r="BB26" i="26"/>
  <c r="BC25" i="26"/>
  <c r="BB25" i="26"/>
  <c r="BC23" i="26"/>
  <c r="BB23" i="26"/>
  <c r="BC22" i="26"/>
  <c r="BB22" i="26"/>
  <c r="BC21" i="26"/>
  <c r="BB21" i="26"/>
  <c r="BC19" i="26"/>
  <c r="BB19" i="26"/>
  <c r="BC18" i="26"/>
  <c r="BB18" i="26"/>
  <c r="BD467" i="14"/>
  <c r="BD466" i="14"/>
  <c r="BD465" i="14"/>
  <c r="BD25" i="14"/>
  <c r="BD463" i="14"/>
  <c r="BD462" i="14"/>
  <c r="BD461" i="14"/>
  <c r="BD459" i="14"/>
  <c r="BD458" i="14"/>
  <c r="BD457" i="14"/>
  <c r="BD456" i="14"/>
  <c r="BD454" i="14"/>
  <c r="BC467" i="14"/>
  <c r="BB467" i="14"/>
  <c r="BB466" i="14"/>
  <c r="BC466" i="14"/>
  <c r="BC465" i="14"/>
  <c r="BC25" i="14"/>
  <c r="BC463" i="14"/>
  <c r="BC462" i="14"/>
  <c r="BC461" i="14"/>
  <c r="BC459" i="14"/>
  <c r="BC458" i="14"/>
  <c r="BC457" i="14"/>
  <c r="BC456" i="14"/>
  <c r="BC454" i="14"/>
  <c r="BB465" i="14"/>
  <c r="BB25" i="14"/>
  <c r="BB463" i="14"/>
  <c r="BB462" i="14"/>
  <c r="BB461" i="14"/>
  <c r="BB459" i="14"/>
  <c r="BB458" i="14"/>
  <c r="BB457" i="14"/>
  <c r="BB456" i="14"/>
  <c r="BB454" i="14"/>
  <c r="BC573" i="14"/>
  <c r="BB573" i="14"/>
  <c r="G8" i="8" l="1"/>
  <c r="G9" i="8"/>
  <c r="G62" i="4"/>
  <c r="G8" i="32" s="1"/>
  <c r="G61" i="4"/>
  <c r="G58" i="4"/>
  <c r="G57" i="4"/>
  <c r="G54" i="4"/>
  <c r="G53" i="4"/>
  <c r="G49" i="4"/>
  <c r="G48" i="4"/>
  <c r="G45" i="4"/>
  <c r="G44" i="4"/>
  <c r="G41" i="4"/>
  <c r="G40" i="4"/>
  <c r="G17" i="4"/>
  <c r="G19" i="4"/>
  <c r="G18" i="4"/>
  <c r="G16" i="4"/>
  <c r="G15" i="4"/>
  <c r="G14" i="4"/>
  <c r="G10" i="4"/>
  <c r="G12" i="4"/>
  <c r="G11" i="4"/>
  <c r="G9" i="4"/>
  <c r="G8" i="4"/>
  <c r="G7" i="4"/>
  <c r="G31" i="4"/>
  <c r="G33" i="4"/>
  <c r="G32" i="4"/>
  <c r="G30" i="4"/>
  <c r="G29" i="4"/>
  <c r="G28" i="4"/>
  <c r="G24" i="4"/>
  <c r="G26" i="4"/>
  <c r="G25" i="4"/>
  <c r="G23" i="4"/>
  <c r="G22" i="4"/>
  <c r="G21" i="4"/>
  <c r="G92" i="2"/>
  <c r="G86" i="2"/>
  <c r="G76" i="2"/>
  <c r="G66" i="2"/>
  <c r="G58" i="2"/>
  <c r="G50" i="2"/>
  <c r="G22" i="2"/>
  <c r="G16" i="2"/>
  <c r="G43" i="2"/>
  <c r="G33" i="2"/>
  <c r="G32" i="2"/>
  <c r="G9" i="2"/>
  <c r="G61" i="25"/>
  <c r="G59" i="25"/>
  <c r="G58" i="25"/>
  <c r="G56" i="25"/>
  <c r="G49" i="25"/>
  <c r="G48" i="25"/>
  <c r="G51" i="25"/>
  <c r="G47" i="25"/>
  <c r="G46" i="25"/>
  <c r="G45" i="25"/>
  <c r="G24" i="15"/>
  <c r="G63" i="15" l="1"/>
  <c r="G62" i="15"/>
  <c r="G28" i="15"/>
  <c r="G59" i="15"/>
  <c r="G10" i="32" s="1"/>
  <c r="G58" i="15"/>
  <c r="G9" i="32" s="1"/>
  <c r="G47" i="15"/>
  <c r="G15" i="32" s="1"/>
  <c r="G118" i="15"/>
  <c r="G144" i="26"/>
  <c r="G143" i="26"/>
  <c r="G33" i="26"/>
  <c r="G467" i="14"/>
  <c r="G466" i="14"/>
  <c r="G25" i="14"/>
  <c r="G463" i="14"/>
  <c r="G462" i="14"/>
  <c r="G461" i="14"/>
  <c r="G436" i="14"/>
  <c r="G11" i="14"/>
  <c r="G21" i="8" l="1"/>
  <c r="AY17" i="25" l="1"/>
  <c r="AX17" i="25"/>
  <c r="AW17" i="25"/>
  <c r="AV17" i="25"/>
  <c r="AU17" i="25"/>
  <c r="AY16" i="25"/>
  <c r="AX16" i="25"/>
  <c r="AW16" i="25"/>
  <c r="AW93" i="40" s="1"/>
  <c r="AV16" i="25"/>
  <c r="AU16" i="25"/>
  <c r="AY56" i="25"/>
  <c r="AX56" i="25"/>
  <c r="AW56" i="25"/>
  <c r="AV56" i="25"/>
  <c r="AU56" i="25"/>
  <c r="G267" i="27"/>
  <c r="G266" i="27"/>
  <c r="G241" i="27"/>
  <c r="G240" i="27"/>
  <c r="G238" i="27"/>
  <c r="G234" i="27"/>
  <c r="G235" i="27"/>
  <c r="AU202" i="27"/>
  <c r="AU203" i="27" s="1"/>
  <c r="AU197" i="27" s="1"/>
  <c r="AU185" i="27"/>
  <c r="G172" i="27"/>
  <c r="G170" i="27"/>
  <c r="G169" i="27"/>
  <c r="G168" i="27"/>
  <c r="G167" i="27"/>
  <c r="G166" i="27"/>
  <c r="G163" i="27"/>
  <c r="G162" i="27"/>
  <c r="G135" i="27"/>
  <c r="G134" i="27"/>
  <c r="G133" i="27"/>
  <c r="G132" i="27"/>
  <c r="AT27" i="25"/>
  <c r="AS27" i="25"/>
  <c r="AR27" i="25"/>
  <c r="AQ27" i="25"/>
  <c r="AP27" i="25"/>
  <c r="AO27" i="25"/>
  <c r="AN27" i="25"/>
  <c r="AM27" i="25"/>
  <c r="AL27" i="25"/>
  <c r="AK27" i="25"/>
  <c r="AJ27" i="25"/>
  <c r="AI27" i="25"/>
  <c r="AH27" i="25"/>
  <c r="AG26" i="25"/>
  <c r="AF26" i="25"/>
  <c r="AE26" i="25"/>
  <c r="AD26" i="25"/>
  <c r="AC26" i="25"/>
  <c r="AB26" i="25"/>
  <c r="AA26" i="25"/>
  <c r="Z26" i="25"/>
  <c r="Y26" i="25"/>
  <c r="X26" i="25"/>
  <c r="AY93" i="40" l="1"/>
  <c r="AX93" i="40"/>
  <c r="AB40" i="40" a="1"/>
  <c r="AB40" i="40" s="1"/>
  <c r="AB59" i="40"/>
  <c r="AC40" i="40" a="1"/>
  <c r="AC40" i="40" s="1"/>
  <c r="AC59" i="40"/>
  <c r="AM40" i="40" a="1"/>
  <c r="AM40" i="40" s="1"/>
  <c r="AM59" i="40"/>
  <c r="AJ40" i="40" a="1"/>
  <c r="AJ40" i="40" s="1"/>
  <c r="AJ59" i="40"/>
  <c r="AF40" i="40" a="1"/>
  <c r="AF40" i="40" s="1"/>
  <c r="AF59" i="40"/>
  <c r="AR40" i="40" a="1"/>
  <c r="AR40" i="40" s="1"/>
  <c r="AR59" i="40"/>
  <c r="AK40" i="40" a="1"/>
  <c r="AK40" i="40" s="1"/>
  <c r="AK59" i="40"/>
  <c r="AL40" i="40" a="1"/>
  <c r="AL40" i="40" s="1"/>
  <c r="AL59" i="40"/>
  <c r="X40" i="40" a="1"/>
  <c r="X40" i="40" s="1"/>
  <c r="X59" i="40"/>
  <c r="AN40" i="40" a="1"/>
  <c r="AN40" i="40" s="1"/>
  <c r="AN59" i="40"/>
  <c r="Y40" i="40" a="1"/>
  <c r="Y40" i="40" s="1"/>
  <c r="Y59" i="40"/>
  <c r="AG40" i="40" a="1"/>
  <c r="AG40" i="40" s="1"/>
  <c r="AG59" i="40"/>
  <c r="AO40" i="40" a="1"/>
  <c r="AO40" i="40" s="1"/>
  <c r="AO59" i="40"/>
  <c r="AT40" i="40" a="1"/>
  <c r="AT40" i="40" s="1"/>
  <c r="AT59" i="40"/>
  <c r="Z40" i="40" a="1"/>
  <c r="Z40" i="40" s="1"/>
  <c r="Z59" i="40"/>
  <c r="AH40" i="40" a="1"/>
  <c r="AH40" i="40" s="1"/>
  <c r="AH59" i="40"/>
  <c r="AP40" i="40" a="1"/>
  <c r="AP40" i="40" s="1"/>
  <c r="AP59" i="40"/>
  <c r="AU93" i="40"/>
  <c r="AS40" i="40" a="1"/>
  <c r="AS40" i="40" s="1"/>
  <c r="AS59" i="40"/>
  <c r="AD40" i="40" a="1"/>
  <c r="AD40" i="40" s="1"/>
  <c r="AD59" i="40"/>
  <c r="AE40" i="40" a="1"/>
  <c r="AE40" i="40" s="1"/>
  <c r="AE59" i="40"/>
  <c r="AA40" i="40" a="1"/>
  <c r="AA40" i="40" s="1"/>
  <c r="AA59" i="40"/>
  <c r="AI40" i="40" a="1"/>
  <c r="AI40" i="40" s="1"/>
  <c r="AI59" i="40"/>
  <c r="AQ40" i="40" a="1"/>
  <c r="AQ40" i="40" s="1"/>
  <c r="AQ59" i="40"/>
  <c r="AV93" i="40"/>
  <c r="AJ48" i="27"/>
  <c r="AR48" i="27"/>
  <c r="AK48" i="27"/>
  <c r="AL48" i="27"/>
  <c r="AT48" i="27"/>
  <c r="AS48" i="27"/>
  <c r="AB47" i="27"/>
  <c r="AM48" i="27"/>
  <c r="AC47" i="27"/>
  <c r="AN48" i="27"/>
  <c r="AD47" i="27"/>
  <c r="AO48" i="27"/>
  <c r="AH48" i="27"/>
  <c r="AP48" i="27"/>
  <c r="AE47" i="27"/>
  <c r="AF47" i="27"/>
  <c r="AI48" i="27"/>
  <c r="AQ48" i="27"/>
  <c r="AW780" i="35"/>
  <c r="AU781" i="35"/>
  <c r="AY780" i="35"/>
  <c r="AV781" i="35"/>
  <c r="AX781" i="35"/>
  <c r="AX780" i="35"/>
  <c r="AW781" i="35"/>
  <c r="AU780" i="35"/>
  <c r="AV780" i="35"/>
  <c r="AY781" i="35"/>
  <c r="AG47" i="27"/>
  <c r="X47" i="27"/>
  <c r="Z47" i="27"/>
  <c r="Y47" i="27"/>
  <c r="AA47" i="27"/>
  <c r="AU186" i="27"/>
  <c r="AU180" i="27" s="1"/>
  <c r="A1" i="27" a="1"/>
  <c r="A1" i="27" s="1"/>
  <c r="BA125" i="27" s="1"/>
  <c r="BA100" i="27" l="1"/>
  <c r="BA99" i="27"/>
  <c r="AX94" i="40"/>
  <c r="AX38" i="40" a="1"/>
  <c r="AX38" i="40" s="1"/>
  <c r="AX57" i="40"/>
  <c r="AY94" i="40"/>
  <c r="AY38" i="40" a="1"/>
  <c r="AY38" i="40" s="1"/>
  <c r="AY57" i="40"/>
  <c r="AV94" i="40"/>
  <c r="AV38" i="40" a="1"/>
  <c r="AV38" i="40" s="1"/>
  <c r="AV57" i="40"/>
  <c r="AW94" i="40"/>
  <c r="AW57" i="40"/>
  <c r="AW38" i="40" a="1"/>
  <c r="AW38" i="40" s="1"/>
  <c r="AU94" i="40"/>
  <c r="AU38" i="40" a="1"/>
  <c r="AU38" i="40" s="1"/>
  <c r="AU57" i="40"/>
  <c r="BA316" i="27"/>
  <c r="Y54" i="27"/>
  <c r="AP54" i="27"/>
  <c r="AF54" i="27"/>
  <c r="AE54" i="27"/>
  <c r="X54" i="27"/>
  <c r="AO54" i="27"/>
  <c r="AM54" i="27"/>
  <c r="Z54" i="27"/>
  <c r="AB54" i="27"/>
  <c r="AS54" i="27"/>
  <c r="AG54" i="27"/>
  <c r="AH54" i="27"/>
  <c r="AT54" i="27"/>
  <c r="AL54" i="27"/>
  <c r="AQ54" i="27"/>
  <c r="AN54" i="27"/>
  <c r="AR54" i="27"/>
  <c r="AD54" i="27"/>
  <c r="AK54" i="27"/>
  <c r="AA54" i="27"/>
  <c r="AI54" i="27"/>
  <c r="AC54" i="27"/>
  <c r="AJ54" i="27"/>
  <c r="BA289" i="27"/>
  <c r="BA291" i="27"/>
  <c r="BA286" i="27"/>
  <c r="BA287" i="27"/>
  <c r="BA288" i="27"/>
  <c r="BA273" i="27"/>
  <c r="BA276" i="27"/>
  <c r="BA270" i="27"/>
  <c r="BA272" i="27"/>
  <c r="BA53" i="27"/>
  <c r="BA86" i="27"/>
  <c r="BA82" i="27"/>
  <c r="BA74" i="27"/>
  <c r="BA66" i="27"/>
  <c r="BA58" i="27"/>
  <c r="BA79" i="27"/>
  <c r="BA71" i="27"/>
  <c r="BA63" i="27"/>
  <c r="BA67" i="27"/>
  <c r="BA59" i="27"/>
  <c r="BA84" i="27"/>
  <c r="BA76" i="27"/>
  <c r="BA68" i="27"/>
  <c r="BA60" i="27"/>
  <c r="BA75" i="27"/>
  <c r="BA81" i="27"/>
  <c r="BA73" i="27"/>
  <c r="BA65" i="27"/>
  <c r="BA57" i="27"/>
  <c r="BA78" i="27"/>
  <c r="BA70" i="27"/>
  <c r="BA62" i="27"/>
  <c r="BA83" i="27"/>
  <c r="BA80" i="27"/>
  <c r="BA72" i="27"/>
  <c r="BA64" i="27"/>
  <c r="BA77" i="27"/>
  <c r="BA69" i="27"/>
  <c r="BA61" i="27"/>
  <c r="BA54" i="27"/>
  <c r="BA296" i="27"/>
  <c r="BA297" i="27"/>
  <c r="BA253" i="27"/>
  <c r="BA295" i="27"/>
  <c r="BA20" i="27"/>
  <c r="BA331" i="27"/>
  <c r="BA325" i="27"/>
  <c r="BA266" i="27"/>
  <c r="BA258" i="27"/>
  <c r="BA226" i="27"/>
  <c r="BA218" i="27"/>
  <c r="BA210" i="27"/>
  <c r="BA202" i="27"/>
  <c r="BA194" i="27"/>
  <c r="BA186" i="27"/>
  <c r="BA178" i="27"/>
  <c r="BA170" i="27"/>
  <c r="BA162" i="27"/>
  <c r="BA122" i="27"/>
  <c r="BA115" i="27"/>
  <c r="BA107" i="27"/>
  <c r="BA302" i="27"/>
  <c r="BA330" i="27"/>
  <c r="BA324" i="27"/>
  <c r="BA315" i="27"/>
  <c r="BA308" i="27"/>
  <c r="BA278" i="27"/>
  <c r="BA265" i="27"/>
  <c r="BA257" i="27"/>
  <c r="BA225" i="27"/>
  <c r="BA217" i="27"/>
  <c r="BA193" i="27"/>
  <c r="BA185" i="27"/>
  <c r="BA177" i="27"/>
  <c r="BA169" i="27"/>
  <c r="BA114" i="27"/>
  <c r="BA106" i="27"/>
  <c r="BA22" i="27"/>
  <c r="BA259" i="27"/>
  <c r="BA227" i="27"/>
  <c r="BA211" i="27"/>
  <c r="BA195" i="27"/>
  <c r="BA179" i="27"/>
  <c r="BA307" i="27"/>
  <c r="BA301" i="27"/>
  <c r="BA277" i="27"/>
  <c r="BA256" i="27"/>
  <c r="BA224" i="27"/>
  <c r="BA200" i="27"/>
  <c r="BA176" i="27"/>
  <c r="BA168" i="27"/>
  <c r="BA120" i="27"/>
  <c r="BA113" i="27"/>
  <c r="BA105" i="27"/>
  <c r="BA42" i="27"/>
  <c r="BA21" i="27"/>
  <c r="BA163" i="27"/>
  <c r="BA306" i="27"/>
  <c r="BA300" i="27"/>
  <c r="BA207" i="27"/>
  <c r="BA199" i="27"/>
  <c r="BA183" i="27"/>
  <c r="BA167" i="27"/>
  <c r="BA128" i="27"/>
  <c r="BA112" i="27"/>
  <c r="BA104" i="27"/>
  <c r="BA41" i="27"/>
  <c r="BA327" i="27"/>
  <c r="BA321" i="27"/>
  <c r="BA283" i="27"/>
  <c r="BA262" i="27"/>
  <c r="BA214" i="27"/>
  <c r="BA206" i="27"/>
  <c r="BA198" i="27"/>
  <c r="BA190" i="27"/>
  <c r="BA182" i="27"/>
  <c r="BA166" i="27"/>
  <c r="BA127" i="27"/>
  <c r="BA27" i="27"/>
  <c r="BA280" i="27"/>
  <c r="BA326" i="27"/>
  <c r="BA320" i="27"/>
  <c r="BA311" i="27"/>
  <c r="BA282" i="27"/>
  <c r="BA269" i="27"/>
  <c r="BA261" i="27"/>
  <c r="BA221" i="27"/>
  <c r="BA213" i="27"/>
  <c r="BA205" i="27"/>
  <c r="BA197" i="27"/>
  <c r="BA189" i="27"/>
  <c r="BA181" i="27"/>
  <c r="BA39" i="27"/>
  <c r="BA26" i="27"/>
  <c r="BA267" i="27"/>
  <c r="BA219" i="27"/>
  <c r="BA203" i="27"/>
  <c r="BA187" i="27"/>
  <c r="BA108" i="27"/>
  <c r="BA37" i="27"/>
  <c r="BA319" i="27"/>
  <c r="BA310" i="27"/>
  <c r="BA303" i="27"/>
  <c r="BA260" i="27"/>
  <c r="BA228" i="27"/>
  <c r="BA220" i="27"/>
  <c r="BA212" i="27"/>
  <c r="BA204" i="27"/>
  <c r="BA196" i="27"/>
  <c r="BA188" i="27"/>
  <c r="BA180" i="27"/>
  <c r="BA172" i="27"/>
  <c r="BA124" i="27"/>
  <c r="BA117" i="27"/>
  <c r="BA109" i="27"/>
  <c r="BA38" i="27"/>
  <c r="BA25" i="27"/>
  <c r="BA116" i="27"/>
  <c r="I25" i="25"/>
  <c r="AY119" i="25"/>
  <c r="AY241" i="27" s="1"/>
  <c r="AX119" i="25"/>
  <c r="AX241" i="27" s="1"/>
  <c r="AW119" i="25"/>
  <c r="AW241" i="27" s="1"/>
  <c r="AV119" i="25"/>
  <c r="AV241" i="27" s="1"/>
  <c r="AU119" i="25"/>
  <c r="AU241" i="27" s="1"/>
  <c r="AY118" i="25"/>
  <c r="AY245" i="27" s="1"/>
  <c r="AX118" i="25"/>
  <c r="AX245" i="27" s="1"/>
  <c r="AW118" i="25"/>
  <c r="AW245" i="27" s="1"/>
  <c r="AV118" i="25"/>
  <c r="AV245" i="27" s="1"/>
  <c r="AU118" i="25"/>
  <c r="AU245" i="27" s="1"/>
  <c r="AY194" i="27"/>
  <c r="AX194" i="27"/>
  <c r="AW194" i="27"/>
  <c r="AV194" i="27"/>
  <c r="AU75" i="25"/>
  <c r="AU150" i="27" s="1"/>
  <c r="AY177" i="27"/>
  <c r="AX177" i="27"/>
  <c r="AW177" i="27"/>
  <c r="AV177" i="27"/>
  <c r="AU70" i="25"/>
  <c r="AU145" i="27" s="1"/>
  <c r="AY115" i="25"/>
  <c r="AY240" i="27" s="1"/>
  <c r="AX115" i="25"/>
  <c r="AX240" i="27" s="1"/>
  <c r="AW115" i="25"/>
  <c r="AW240" i="27" s="1"/>
  <c r="AV115" i="25"/>
  <c r="AV240" i="27" s="1"/>
  <c r="AU115" i="25"/>
  <c r="AU240" i="27" s="1"/>
  <c r="AY114" i="25"/>
  <c r="AY250" i="27" s="1"/>
  <c r="AX114" i="25"/>
  <c r="AX250" i="27" s="1"/>
  <c r="AW114" i="25"/>
  <c r="AW250" i="27" s="1"/>
  <c r="AV114" i="25"/>
  <c r="AV250" i="27" s="1"/>
  <c r="AU114" i="25"/>
  <c r="AU250" i="27" s="1"/>
  <c r="AY113" i="25"/>
  <c r="AY246" i="27" s="1"/>
  <c r="AX113" i="25"/>
  <c r="AX246" i="27" s="1"/>
  <c r="AW113" i="25"/>
  <c r="AW246" i="27" s="1"/>
  <c r="AV113" i="25"/>
  <c r="AV246" i="27" s="1"/>
  <c r="AU113" i="25"/>
  <c r="AU246" i="27" s="1"/>
  <c r="AY112" i="25"/>
  <c r="AY244" i="27" s="1"/>
  <c r="AX112" i="25"/>
  <c r="AX244" i="27" s="1"/>
  <c r="AW112" i="25"/>
  <c r="AW244" i="27" s="1"/>
  <c r="AV112" i="25"/>
  <c r="AV244" i="27" s="1"/>
  <c r="AU112" i="25"/>
  <c r="AU244" i="27" s="1"/>
  <c r="AY77" i="25"/>
  <c r="AY153" i="27" s="1"/>
  <c r="AX77" i="25"/>
  <c r="AX153" i="27" s="1"/>
  <c r="AW77" i="25"/>
  <c r="AW153" i="27" s="1"/>
  <c r="AV77" i="25"/>
  <c r="AV153" i="27" s="1"/>
  <c r="AU77" i="25"/>
  <c r="AU153" i="27" s="1"/>
  <c r="AY148" i="27"/>
  <c r="AX148" i="27"/>
  <c r="AW148" i="27"/>
  <c r="AV148" i="27"/>
  <c r="AU148" i="27"/>
  <c r="AY76" i="25"/>
  <c r="AY151" i="27" s="1"/>
  <c r="AX76" i="25"/>
  <c r="AX151" i="27" s="1"/>
  <c r="AW76" i="25"/>
  <c r="AW151" i="27" s="1"/>
  <c r="AV76" i="25"/>
  <c r="AV151" i="27" s="1"/>
  <c r="AU76" i="25"/>
  <c r="AU151" i="27" s="1"/>
  <c r="AY71" i="25"/>
  <c r="AY146" i="27" s="1"/>
  <c r="AX71" i="25"/>
  <c r="AX146" i="27" s="1"/>
  <c r="AW71" i="25"/>
  <c r="AW146" i="27" s="1"/>
  <c r="AV71" i="25"/>
  <c r="AV146" i="27" s="1"/>
  <c r="AU71" i="25"/>
  <c r="AU146" i="27" s="1"/>
  <c r="AY89" i="25"/>
  <c r="AY141" i="27" s="1"/>
  <c r="AX89" i="25"/>
  <c r="AX141" i="27" s="1"/>
  <c r="AW89" i="25"/>
  <c r="AW141" i="27" s="1"/>
  <c r="AV89" i="25"/>
  <c r="AV141" i="27" s="1"/>
  <c r="AU89" i="25"/>
  <c r="AU141" i="27" s="1"/>
  <c r="AY90" i="25"/>
  <c r="AX90" i="25"/>
  <c r="AW90" i="25"/>
  <c r="AV90" i="25"/>
  <c r="AU90" i="25"/>
  <c r="AY88" i="25"/>
  <c r="AY140" i="27" s="1"/>
  <c r="AX88" i="25"/>
  <c r="AX140" i="27" s="1"/>
  <c r="AW88" i="25"/>
  <c r="AW140" i="27" s="1"/>
  <c r="AV88" i="25"/>
  <c r="AV140" i="27" s="1"/>
  <c r="AU88" i="25"/>
  <c r="AU140" i="27" s="1"/>
  <c r="AY87" i="25"/>
  <c r="AY139" i="27" s="1"/>
  <c r="AX87" i="25"/>
  <c r="AX139" i="27" s="1"/>
  <c r="AW87" i="25"/>
  <c r="AW139" i="27" s="1"/>
  <c r="AV87" i="25"/>
  <c r="AV139" i="27" s="1"/>
  <c r="AU87" i="25"/>
  <c r="AU139" i="27" s="1"/>
  <c r="AY86" i="25"/>
  <c r="AY138" i="27" s="1"/>
  <c r="AX86" i="25"/>
  <c r="AX138" i="27" s="1"/>
  <c r="AW86" i="25"/>
  <c r="AW138" i="27" s="1"/>
  <c r="AV86" i="25"/>
  <c r="AV138" i="27" s="1"/>
  <c r="AU86" i="25"/>
  <c r="AU138" i="27" s="1"/>
  <c r="AY85" i="25"/>
  <c r="AX85" i="25"/>
  <c r="AW85" i="25"/>
  <c r="AV85" i="25"/>
  <c r="AU85" i="25"/>
  <c r="AU116" i="25"/>
  <c r="AU82" i="25"/>
  <c r="AU157" i="27" s="1"/>
  <c r="AU217" i="27" s="1"/>
  <c r="AU79" i="25"/>
  <c r="AU154" i="27" s="1"/>
  <c r="AU210" i="27" s="1"/>
  <c r="AU74" i="25"/>
  <c r="AU149" i="27" s="1"/>
  <c r="AU193" i="27" s="1"/>
  <c r="AU69" i="25"/>
  <c r="AU144" i="27" s="1"/>
  <c r="AU176" i="27" s="1"/>
  <c r="AY32" i="25"/>
  <c r="AX32" i="25"/>
  <c r="AW32" i="25"/>
  <c r="AV32" i="25"/>
  <c r="AU32" i="25"/>
  <c r="I33" i="27"/>
  <c r="AY34" i="27"/>
  <c r="AX34" i="27"/>
  <c r="AW34" i="27"/>
  <c r="AV34" i="27"/>
  <c r="AU34" i="27"/>
  <c r="AY12" i="25"/>
  <c r="AY15" i="27" s="1"/>
  <c r="AX12" i="25"/>
  <c r="AX15" i="27" s="1"/>
  <c r="AW12" i="25"/>
  <c r="AW15" i="27" s="1"/>
  <c r="AV12" i="25"/>
  <c r="AV15" i="27" s="1"/>
  <c r="AU12" i="25"/>
  <c r="AU15" i="27" s="1"/>
  <c r="AY11" i="25"/>
  <c r="AX11" i="25"/>
  <c r="AW11" i="25"/>
  <c r="AV11" i="25"/>
  <c r="AU11" i="25"/>
  <c r="BC180" i="26"/>
  <c r="BC178" i="26"/>
  <c r="BC177" i="26"/>
  <c r="BC138" i="26"/>
  <c r="BB138" i="26"/>
  <c r="G138" i="26"/>
  <c r="BD135" i="26"/>
  <c r="BC135" i="26"/>
  <c r="BB135" i="26"/>
  <c r="G135" i="26"/>
  <c r="BD134" i="26"/>
  <c r="BC134" i="26"/>
  <c r="BB134" i="26"/>
  <c r="G134" i="26"/>
  <c r="BD130" i="26"/>
  <c r="BB130" i="26"/>
  <c r="BD129" i="26"/>
  <c r="BB129" i="26"/>
  <c r="BD128" i="26"/>
  <c r="BB128" i="26"/>
  <c r="BD127" i="26"/>
  <c r="BB127" i="26"/>
  <c r="BD126" i="26"/>
  <c r="BB126" i="26"/>
  <c r="BD125" i="26"/>
  <c r="BB125" i="26"/>
  <c r="BD120" i="26"/>
  <c r="BB120" i="26"/>
  <c r="BD119" i="26"/>
  <c r="BB119" i="26"/>
  <c r="BD118" i="26"/>
  <c r="BB118" i="26"/>
  <c r="BD117" i="26"/>
  <c r="BB117" i="26"/>
  <c r="BD116" i="26"/>
  <c r="BB116" i="26"/>
  <c r="BD115" i="26"/>
  <c r="BB115" i="26"/>
  <c r="BD114" i="26"/>
  <c r="BB114" i="26"/>
  <c r="BD113" i="26"/>
  <c r="BB113" i="26"/>
  <c r="BD112" i="26"/>
  <c r="BB112" i="26"/>
  <c r="BD111" i="26"/>
  <c r="BB111" i="26"/>
  <c r="BD110" i="26"/>
  <c r="BB110" i="26"/>
  <c r="BD109" i="26"/>
  <c r="BB109" i="26"/>
  <c r="BD108" i="26"/>
  <c r="BB108" i="26"/>
  <c r="BD107" i="26"/>
  <c r="BB107" i="26"/>
  <c r="BD106" i="26"/>
  <c r="BB106" i="26"/>
  <c r="BD105" i="26"/>
  <c r="BB105" i="26"/>
  <c r="BD104" i="26"/>
  <c r="BB104" i="26"/>
  <c r="BD103" i="26"/>
  <c r="BB103" i="26"/>
  <c r="BD102" i="26"/>
  <c r="BB102" i="26"/>
  <c r="BD101" i="26"/>
  <c r="BB101" i="26"/>
  <c r="BD100" i="26"/>
  <c r="BB100" i="26"/>
  <c r="BD99" i="26"/>
  <c r="BB99" i="26"/>
  <c r="BD96" i="26"/>
  <c r="BB96" i="26"/>
  <c r="BD95" i="26"/>
  <c r="BB95" i="26"/>
  <c r="BD94" i="26"/>
  <c r="BB94" i="26"/>
  <c r="BD91" i="26"/>
  <c r="BB91" i="26"/>
  <c r="BD90" i="26"/>
  <c r="BB90" i="26"/>
  <c r="BD89" i="26"/>
  <c r="BB89" i="26"/>
  <c r="BD88" i="26"/>
  <c r="BB88" i="26"/>
  <c r="BD87" i="26"/>
  <c r="BB87" i="26"/>
  <c r="BD86" i="26"/>
  <c r="BB86" i="26"/>
  <c r="BD85" i="26"/>
  <c r="BB85" i="26"/>
  <c r="BD84" i="26"/>
  <c r="BB84" i="26"/>
  <c r="BD83" i="26"/>
  <c r="BB83" i="26"/>
  <c r="BD82" i="26"/>
  <c r="BB82" i="26"/>
  <c r="BD81" i="26"/>
  <c r="BB81" i="26"/>
  <c r="BD76" i="26"/>
  <c r="BC76" i="26"/>
  <c r="BB76" i="26"/>
  <c r="G76" i="26"/>
  <c r="BD75" i="26"/>
  <c r="BC75" i="26"/>
  <c r="BB75" i="26"/>
  <c r="G75" i="26"/>
  <c r="BD74" i="26"/>
  <c r="BC74" i="26"/>
  <c r="BB74" i="26"/>
  <c r="G74" i="26"/>
  <c r="BD71" i="26"/>
  <c r="BC71" i="26"/>
  <c r="BB71" i="26"/>
  <c r="G71" i="26"/>
  <c r="BD70" i="26"/>
  <c r="BC70" i="26"/>
  <c r="BB70" i="26"/>
  <c r="G70" i="26"/>
  <c r="BD69" i="26"/>
  <c r="BC69" i="26"/>
  <c r="BB69" i="26"/>
  <c r="G69" i="26"/>
  <c r="BD68" i="26"/>
  <c r="BC68" i="26"/>
  <c r="BB68" i="26"/>
  <c r="G68" i="26"/>
  <c r="BD67" i="26"/>
  <c r="BC67" i="26"/>
  <c r="BB67" i="26"/>
  <c r="G67" i="26"/>
  <c r="BD66" i="26"/>
  <c r="BC66" i="26"/>
  <c r="BB66" i="26"/>
  <c r="G66" i="26"/>
  <c r="BD65" i="26"/>
  <c r="BC65" i="26"/>
  <c r="BB65" i="26"/>
  <c r="G65" i="26"/>
  <c r="BD64" i="26"/>
  <c r="BC64" i="26"/>
  <c r="BB64" i="26"/>
  <c r="G64" i="26"/>
  <c r="BD63" i="26"/>
  <c r="BC63" i="26"/>
  <c r="BB63" i="26"/>
  <c r="G63" i="26"/>
  <c r="BD62" i="26"/>
  <c r="BC62" i="26"/>
  <c r="BB62" i="26"/>
  <c r="G62" i="26"/>
  <c r="BD61" i="26"/>
  <c r="BC61" i="26"/>
  <c r="BB61" i="26"/>
  <c r="G61" i="26"/>
  <c r="BC50" i="26"/>
  <c r="BB50" i="26"/>
  <c r="BC49" i="26"/>
  <c r="BB49" i="26"/>
  <c r="BC54" i="26"/>
  <c r="BB54" i="26"/>
  <c r="BC53" i="26"/>
  <c r="BB53" i="26"/>
  <c r="BC48" i="26"/>
  <c r="BB48" i="26"/>
  <c r="G48" i="26"/>
  <c r="BC47" i="26"/>
  <c r="BB47" i="26"/>
  <c r="BC46" i="26"/>
  <c r="BB46" i="26"/>
  <c r="BC45" i="26"/>
  <c r="BB45" i="26"/>
  <c r="BC17" i="26"/>
  <c r="BB17" i="26"/>
  <c r="BC14" i="26"/>
  <c r="BB14" i="26"/>
  <c r="BC12" i="26"/>
  <c r="BB12" i="26"/>
  <c r="G12" i="26"/>
  <c r="BC13" i="26"/>
  <c r="BB13" i="26"/>
  <c r="BC9" i="26"/>
  <c r="BB9" i="26"/>
  <c r="G9" i="26"/>
  <c r="BC8" i="26"/>
  <c r="BB8" i="26"/>
  <c r="G8" i="26"/>
  <c r="A1" i="26" a="1"/>
  <c r="A1" i="26" s="1"/>
  <c r="BB26" i="25"/>
  <c r="BB25" i="25"/>
  <c r="G119" i="25"/>
  <c r="G115" i="25"/>
  <c r="AT158" i="27"/>
  <c r="BB64" i="25"/>
  <c r="G64" i="25"/>
  <c r="BB46" i="25"/>
  <c r="BB44" i="25"/>
  <c r="G44" i="25"/>
  <c r="BB43" i="25"/>
  <c r="G43" i="25"/>
  <c r="BB40" i="25"/>
  <c r="G40" i="25"/>
  <c r="BB39" i="25"/>
  <c r="G39" i="25"/>
  <c r="BB38" i="25"/>
  <c r="G38" i="25"/>
  <c r="BB35" i="25"/>
  <c r="G35" i="25"/>
  <c r="BB34" i="25"/>
  <c r="G34" i="25"/>
  <c r="BB32" i="25"/>
  <c r="G32" i="25"/>
  <c r="BB33" i="25"/>
  <c r="G33" i="25"/>
  <c r="BB22" i="25"/>
  <c r="BB20" i="25"/>
  <c r="BB12" i="25"/>
  <c r="G12" i="25"/>
  <c r="G15" i="27" s="1"/>
  <c r="BB11" i="25"/>
  <c r="G11" i="25"/>
  <c r="G14" i="27" s="1"/>
  <c r="BC17" i="25"/>
  <c r="BB17" i="25"/>
  <c r="AY10" i="27"/>
  <c r="AX10" i="27"/>
  <c r="AW10" i="27"/>
  <c r="AV10" i="27"/>
  <c r="AU10" i="27"/>
  <c r="G17" i="25"/>
  <c r="G10" i="27" s="1"/>
  <c r="BC16" i="25"/>
  <c r="BB16" i="25"/>
  <c r="AY8" i="27"/>
  <c r="AX8" i="27"/>
  <c r="AW8" i="27"/>
  <c r="AV8" i="27"/>
  <c r="AU8" i="27"/>
  <c r="G16" i="25"/>
  <c r="G8" i="27" s="1"/>
  <c r="A1" i="25" a="1"/>
  <c r="A1" i="25" s="1"/>
  <c r="BA147" i="25" s="1"/>
  <c r="D145" i="27" a="1"/>
  <c r="D138" i="27" a="1"/>
  <c r="D153" i="27" a="1"/>
  <c r="D146" i="27" a="1"/>
  <c r="D154" i="27" a="1"/>
  <c r="D241" i="27" a="1"/>
  <c r="D10" i="27" a="1"/>
  <c r="D151" i="27" a="1"/>
  <c r="D141" i="27" a="1"/>
  <c r="D245" i="27" a="1"/>
  <c r="D34" i="27" a="1"/>
  <c r="D144" i="27" a="1"/>
  <c r="D250" i="27" a="1"/>
  <c r="D240" i="27" a="1"/>
  <c r="D8" i="27" a="1"/>
  <c r="D150" i="27" a="1"/>
  <c r="D246" i="27" a="1"/>
  <c r="D244" i="27" a="1"/>
  <c r="D149" i="27" a="1"/>
  <c r="D158" i="27" a="1"/>
  <c r="D139" i="27" a="1"/>
  <c r="D15" i="27" a="1"/>
  <c r="D157" i="27" a="1"/>
  <c r="D148" i="27" a="1"/>
  <c r="D140" i="27" a="1"/>
  <c r="BA179" i="26" l="1"/>
  <c r="BA184" i="26"/>
  <c r="BA30" i="26"/>
  <c r="BA31" i="26"/>
  <c r="BA60" i="25"/>
  <c r="BA143" i="25"/>
  <c r="BA54" i="25"/>
  <c r="BA61" i="25"/>
  <c r="BA133" i="25"/>
  <c r="BA21" i="25"/>
  <c r="BA173" i="26"/>
  <c r="BA66" i="25"/>
  <c r="BA72" i="25"/>
  <c r="BA53" i="25"/>
  <c r="BA52" i="25"/>
  <c r="BA169" i="26"/>
  <c r="BA170" i="26"/>
  <c r="BA150" i="26"/>
  <c r="BA158" i="26"/>
  <c r="BA155" i="26"/>
  <c r="BA160" i="26"/>
  <c r="BA157" i="26"/>
  <c r="BA154" i="26"/>
  <c r="BA156" i="26"/>
  <c r="BA153" i="26"/>
  <c r="BA159" i="26"/>
  <c r="BA51" i="26"/>
  <c r="BA52" i="26"/>
  <c r="BA57" i="26"/>
  <c r="BA56" i="26"/>
  <c r="BA55" i="26"/>
  <c r="BA7" i="25"/>
  <c r="BA8" i="25"/>
  <c r="BA187" i="26"/>
  <c r="BA188" i="26"/>
  <c r="AU14" i="27"/>
  <c r="AU90" i="40"/>
  <c r="AY137" i="27"/>
  <c r="AY101" i="40"/>
  <c r="AV14" i="27"/>
  <c r="AV90" i="40"/>
  <c r="I50" i="27"/>
  <c r="I40" i="40" a="1"/>
  <c r="I40" i="40" s="1"/>
  <c r="I59" i="40"/>
  <c r="AU137" i="27"/>
  <c r="AU101" i="40"/>
  <c r="AW14" i="27"/>
  <c r="AW90" i="40"/>
  <c r="AX14" i="27"/>
  <c r="AX90" i="40"/>
  <c r="AV137" i="27"/>
  <c r="AV101" i="40"/>
  <c r="AY14" i="27"/>
  <c r="AY90" i="40"/>
  <c r="AW137" i="27"/>
  <c r="AW101" i="40"/>
  <c r="AX137" i="27"/>
  <c r="AX101" i="40"/>
  <c r="BA128" i="25"/>
  <c r="BA142" i="25"/>
  <c r="BA38" i="26"/>
  <c r="BA29" i="25"/>
  <c r="BA80" i="25"/>
  <c r="BA122" i="26"/>
  <c r="BA124" i="26"/>
  <c r="BA123" i="26"/>
  <c r="BA121" i="26"/>
  <c r="BA73" i="26"/>
  <c r="BA93" i="26"/>
  <c r="BA92" i="26"/>
  <c r="BA72" i="26"/>
  <c r="AV142" i="27"/>
  <c r="AW142" i="27"/>
  <c r="AX142" i="27"/>
  <c r="AY142" i="27"/>
  <c r="AU142" i="27"/>
  <c r="BA138" i="25"/>
  <c r="BA141" i="25"/>
  <c r="BA139" i="25"/>
  <c r="BA149" i="25"/>
  <c r="BA146" i="25"/>
  <c r="BA145" i="25"/>
  <c r="BA132" i="25"/>
  <c r="BA135" i="25"/>
  <c r="BA131" i="25"/>
  <c r="BA134" i="25"/>
  <c r="BA130" i="25"/>
  <c r="BA127" i="25"/>
  <c r="BA126" i="25"/>
  <c r="BA146" i="26"/>
  <c r="BA186" i="26"/>
  <c r="BA183" i="26"/>
  <c r="BA185" i="26"/>
  <c r="BA41" i="26"/>
  <c r="BA42" i="26"/>
  <c r="BA163" i="26"/>
  <c r="BA164" i="26"/>
  <c r="BA36" i="26"/>
  <c r="BA37" i="26"/>
  <c r="D34" i="27"/>
  <c r="D151" i="27"/>
  <c r="D246" i="27"/>
  <c r="D157" i="27"/>
  <c r="D153" i="27"/>
  <c r="D241" i="27"/>
  <c r="D8" i="27"/>
  <c r="D10" i="27"/>
  <c r="D145" i="27"/>
  <c r="D148" i="27"/>
  <c r="D245" i="27"/>
  <c r="D149" i="27"/>
  <c r="D140" i="27"/>
  <c r="D150" i="27"/>
  <c r="D154" i="27"/>
  <c r="D250" i="27"/>
  <c r="D141" i="27"/>
  <c r="D138" i="27"/>
  <c r="D240" i="27"/>
  <c r="D139" i="27"/>
  <c r="D15" i="27"/>
  <c r="D144" i="27"/>
  <c r="D146" i="27"/>
  <c r="D244" i="27"/>
  <c r="AU177" i="27"/>
  <c r="AU194" i="27"/>
  <c r="BA16" i="25"/>
  <c r="BA118" i="25"/>
  <c r="BA112" i="25"/>
  <c r="BA62" i="25"/>
  <c r="BA48" i="25"/>
  <c r="BA41" i="25"/>
  <c r="BA34" i="25"/>
  <c r="BA20" i="25"/>
  <c r="BA85" i="25"/>
  <c r="BA22" i="25"/>
  <c r="BA116" i="25"/>
  <c r="BA51" i="25"/>
  <c r="BA40" i="25"/>
  <c r="BA32" i="25"/>
  <c r="BA27" i="25"/>
  <c r="BA75" i="25"/>
  <c r="BA89" i="25"/>
  <c r="BA83" i="25"/>
  <c r="BA59" i="25"/>
  <c r="BA47" i="25"/>
  <c r="BA39" i="25"/>
  <c r="BA33" i="25"/>
  <c r="BA71" i="25"/>
  <c r="BA49" i="25"/>
  <c r="BA35" i="25"/>
  <c r="BA26" i="25"/>
  <c r="BA70" i="25"/>
  <c r="BA90" i="25"/>
  <c r="BA82" i="25"/>
  <c r="BA58" i="25"/>
  <c r="BA46" i="25"/>
  <c r="BA38" i="25"/>
  <c r="BA17" i="25"/>
  <c r="BA25" i="25"/>
  <c r="BA88" i="25"/>
  <c r="BA79" i="25"/>
  <c r="BA45" i="25"/>
  <c r="BA12" i="25"/>
  <c r="BA113" i="25"/>
  <c r="BA115" i="25"/>
  <c r="BA87" i="25"/>
  <c r="BA74" i="25"/>
  <c r="BA56" i="25"/>
  <c r="BA44" i="25"/>
  <c r="BA11" i="25"/>
  <c r="BA119" i="25"/>
  <c r="BA114" i="25"/>
  <c r="BA77" i="25"/>
  <c r="BA76" i="25"/>
  <c r="BA86" i="25"/>
  <c r="BA69" i="25"/>
  <c r="BA64" i="25"/>
  <c r="BA43" i="25"/>
  <c r="BA8" i="26"/>
  <c r="BA144" i="26"/>
  <c r="BA177" i="26"/>
  <c r="BA125" i="26"/>
  <c r="BA113" i="26"/>
  <c r="BA105" i="26"/>
  <c r="BA87" i="26"/>
  <c r="BA68" i="26"/>
  <c r="BA54" i="26"/>
  <c r="BA26" i="26"/>
  <c r="BA18" i="26"/>
  <c r="BA135" i="26"/>
  <c r="BA143" i="26"/>
  <c r="BA120" i="26"/>
  <c r="BA112" i="26"/>
  <c r="BA104" i="26"/>
  <c r="BA96" i="26"/>
  <c r="BA86" i="26"/>
  <c r="BA67" i="26"/>
  <c r="BA53" i="26"/>
  <c r="BA25" i="26"/>
  <c r="BA17" i="26"/>
  <c r="BA9" i="26"/>
  <c r="BA107" i="26"/>
  <c r="BA142" i="26"/>
  <c r="BA138" i="26"/>
  <c r="BA119" i="26"/>
  <c r="BA111" i="26"/>
  <c r="BA103" i="26"/>
  <c r="BA95" i="26"/>
  <c r="BA85" i="26"/>
  <c r="BA76" i="26"/>
  <c r="BA66" i="26"/>
  <c r="BA48" i="26"/>
  <c r="BA127" i="26"/>
  <c r="BA115" i="26"/>
  <c r="BA99" i="26"/>
  <c r="BA89" i="26"/>
  <c r="BA81" i="26"/>
  <c r="BA70" i="26"/>
  <c r="BA62" i="26"/>
  <c r="BA50" i="26"/>
  <c r="BA27" i="26"/>
  <c r="BA13" i="26"/>
  <c r="BA174" i="26"/>
  <c r="BA168" i="26"/>
  <c r="BA130" i="26"/>
  <c r="BA118" i="26"/>
  <c r="BA110" i="26"/>
  <c r="BA102" i="26"/>
  <c r="BA94" i="26"/>
  <c r="BA84" i="26"/>
  <c r="BA75" i="26"/>
  <c r="BA65" i="26"/>
  <c r="BA47" i="26"/>
  <c r="BA23" i="26"/>
  <c r="BA128" i="26"/>
  <c r="BA116" i="26"/>
  <c r="BA100" i="26"/>
  <c r="BA82" i="26"/>
  <c r="BA63" i="26"/>
  <c r="BA45" i="26"/>
  <c r="BA12" i="26"/>
  <c r="BA180" i="26"/>
  <c r="BA129" i="26"/>
  <c r="BA117" i="26"/>
  <c r="BA109" i="26"/>
  <c r="BA101" i="26"/>
  <c r="BA91" i="26"/>
  <c r="BA83" i="26"/>
  <c r="BA74" i="26"/>
  <c r="BA64" i="26"/>
  <c r="BA46" i="26"/>
  <c r="BA33" i="26"/>
  <c r="BA22" i="26"/>
  <c r="BA14" i="26"/>
  <c r="BA108" i="26"/>
  <c r="BA90" i="26"/>
  <c r="BA71" i="26"/>
  <c r="BA21" i="26"/>
  <c r="BA178" i="26"/>
  <c r="BA134" i="26"/>
  <c r="BA126" i="26"/>
  <c r="BA114" i="26"/>
  <c r="BA106" i="26"/>
  <c r="BA88" i="26"/>
  <c r="BA69" i="26"/>
  <c r="BA61" i="26"/>
  <c r="BA49" i="26"/>
  <c r="BA29" i="26"/>
  <c r="BA19" i="26"/>
  <c r="D158" i="27"/>
  <c r="AY61" i="25"/>
  <c r="AY234" i="27"/>
  <c r="AU265" i="27"/>
  <c r="AV266" i="27"/>
  <c r="AV265" i="27"/>
  <c r="AW266" i="27"/>
  <c r="AU61" i="25"/>
  <c r="AU234" i="27"/>
  <c r="AX265" i="27"/>
  <c r="AX266" i="27"/>
  <c r="AV61" i="25"/>
  <c r="AV234" i="27"/>
  <c r="AU249" i="27"/>
  <c r="AY265" i="27"/>
  <c r="AY266" i="27"/>
  <c r="AU266" i="27"/>
  <c r="AW61" i="25"/>
  <c r="AW234" i="27"/>
  <c r="AX61" i="25"/>
  <c r="AX234" i="27"/>
  <c r="AW265" i="27"/>
  <c r="D234" i="27" a="1"/>
  <c r="D142" i="27" a="1"/>
  <c r="D137" i="27" a="1"/>
  <c r="D249" i="27" a="1"/>
  <c r="D14" i="27" a="1"/>
  <c r="I24" i="40" l="1"/>
  <c r="D137" i="27"/>
  <c r="D14" i="27"/>
  <c r="AU324" i="27"/>
  <c r="AU300" i="27"/>
  <c r="D142" i="27"/>
  <c r="D249" i="27"/>
  <c r="D234" i="27"/>
  <c r="AV267" i="27"/>
  <c r="AY267" i="27"/>
  <c r="AX267" i="27"/>
  <c r="AW267" i="27"/>
  <c r="AU267" i="27"/>
  <c r="AX9" i="27" l="1"/>
  <c r="AY9" i="27"/>
  <c r="AV9" i="27"/>
  <c r="AU11" i="27"/>
  <c r="AV11" i="27"/>
  <c r="AV21" i="27" s="1"/>
  <c r="AW11" i="27"/>
  <c r="AW21" i="27" s="1"/>
  <c r="D11" i="27" a="1"/>
  <c r="D11" i="27" l="1"/>
  <c r="AU21" i="27"/>
  <c r="AY11" i="27"/>
  <c r="AY21" i="27" s="1"/>
  <c r="AW9" i="27"/>
  <c r="AX11" i="27"/>
  <c r="AX21" i="27" s="1"/>
  <c r="AU9" i="27"/>
  <c r="AY20" i="27"/>
  <c r="AV20" i="27"/>
  <c r="AV22" i="27" s="1"/>
  <c r="AX20" i="27"/>
  <c r="AT52" i="15"/>
  <c r="AS52" i="15"/>
  <c r="AR52" i="15"/>
  <c r="AQ52" i="15"/>
  <c r="AP52" i="15"/>
  <c r="AO52" i="15"/>
  <c r="AN52" i="15"/>
  <c r="AM52" i="15"/>
  <c r="AL52" i="15"/>
  <c r="AK52" i="15"/>
  <c r="AJ52" i="15"/>
  <c r="AI52" i="15"/>
  <c r="AH52" i="15"/>
  <c r="AG52" i="15"/>
  <c r="AF52" i="15"/>
  <c r="AE52" i="15"/>
  <c r="AD52" i="15"/>
  <c r="AC52" i="15"/>
  <c r="AB52" i="15"/>
  <c r="AA52" i="15"/>
  <c r="Z52" i="15"/>
  <c r="Y52" i="15"/>
  <c r="X52" i="15"/>
  <c r="D9" i="27" a="1"/>
  <c r="AV32" i="27" l="1"/>
  <c r="AV92" i="40"/>
  <c r="AV97" i="40" s="1"/>
  <c r="AW20" i="27"/>
  <c r="AW22" i="27" s="1"/>
  <c r="X17" i="32"/>
  <c r="AF17" i="32"/>
  <c r="AN17" i="32"/>
  <c r="AN12" i="22"/>
  <c r="AG17" i="32"/>
  <c r="Z17" i="32"/>
  <c r="AH17" i="32"/>
  <c r="AH12" i="22"/>
  <c r="AA17" i="32"/>
  <c r="AI17" i="32"/>
  <c r="AI12" i="22"/>
  <c r="AQ17" i="32"/>
  <c r="AQ12" i="22"/>
  <c r="AP17" i="32"/>
  <c r="AP12" i="22"/>
  <c r="AB17" i="32"/>
  <c r="AJ17" i="32"/>
  <c r="AJ12" i="22"/>
  <c r="AR17" i="32"/>
  <c r="AR12" i="22"/>
  <c r="Y17" i="32"/>
  <c r="AO17" i="32"/>
  <c r="AO12" i="22"/>
  <c r="AC17" i="32"/>
  <c r="AK17" i="32"/>
  <c r="AK12" i="22"/>
  <c r="AS17" i="32"/>
  <c r="AS12" i="22"/>
  <c r="AD17" i="32"/>
  <c r="AL17" i="32"/>
  <c r="AL12" i="22"/>
  <c r="AT17" i="32"/>
  <c r="AT12" i="22"/>
  <c r="AE17" i="32"/>
  <c r="AM17" i="32"/>
  <c r="AM12" i="22"/>
  <c r="AY22" i="27"/>
  <c r="D9" i="27"/>
  <c r="AU20" i="27"/>
  <c r="AU22" i="27" s="1"/>
  <c r="AX22" i="27"/>
  <c r="D17" i="32" a="1"/>
  <c r="D12" i="22" a="1"/>
  <c r="AX32" i="27" l="1"/>
  <c r="AX92" i="40"/>
  <c r="AX97" i="40" s="1"/>
  <c r="AU32" i="27"/>
  <c r="AU92" i="40"/>
  <c r="AU97" i="40" s="1"/>
  <c r="AW32" i="27"/>
  <c r="AW92" i="40"/>
  <c r="AW97" i="40" s="1"/>
  <c r="AY32" i="27"/>
  <c r="AY92" i="40"/>
  <c r="AY97" i="40" s="1"/>
  <c r="D17" i="32"/>
  <c r="D12" i="22"/>
  <c r="AD72" i="32"/>
  <c r="AD78" i="32"/>
  <c r="AD76" i="32"/>
  <c r="AD80" i="32"/>
  <c r="AD88" i="32"/>
  <c r="AD82" i="32"/>
  <c r="AD89" i="32"/>
  <c r="AD75" i="32"/>
  <c r="AD91" i="32"/>
  <c r="AD79" i="32"/>
  <c r="AD84" i="32"/>
  <c r="AD87" i="32"/>
  <c r="AD86" i="32"/>
  <c r="AD83" i="32"/>
  <c r="AD77" i="32"/>
  <c r="AD93" i="32"/>
  <c r="AD73" i="32"/>
  <c r="AD81" i="32"/>
  <c r="AD92" i="32"/>
  <c r="AD74" i="32"/>
  <c r="AD90" i="32"/>
  <c r="AD85" i="32"/>
  <c r="AH82" i="32"/>
  <c r="AH90" i="32"/>
  <c r="AH87" i="32"/>
  <c r="AH86" i="32"/>
  <c r="AH81" i="32"/>
  <c r="AH88" i="32"/>
  <c r="AH89" i="32"/>
  <c r="AH91" i="32"/>
  <c r="AH93" i="32"/>
  <c r="AH76" i="32"/>
  <c r="AH85" i="32"/>
  <c r="AH92" i="32"/>
  <c r="AH77" i="32"/>
  <c r="AH79" i="32"/>
  <c r="AH83" i="32"/>
  <c r="AH78" i="32"/>
  <c r="AH84" i="32"/>
  <c r="AH80" i="32"/>
  <c r="AK91" i="32"/>
  <c r="AK88" i="32"/>
  <c r="AK87" i="32"/>
  <c r="AK84" i="32"/>
  <c r="AK82" i="32"/>
  <c r="AK89" i="32"/>
  <c r="AK81" i="32"/>
  <c r="AK90" i="32"/>
  <c r="AK83" i="32"/>
  <c r="AK80" i="32"/>
  <c r="AK85" i="32"/>
  <c r="AK93" i="32"/>
  <c r="AK86" i="32"/>
  <c r="AK79" i="32"/>
  <c r="AK92" i="32"/>
  <c r="AN89" i="32"/>
  <c r="AN85" i="32"/>
  <c r="AN83" i="32"/>
  <c r="AN91" i="32"/>
  <c r="AN93" i="32"/>
  <c r="AN92" i="32"/>
  <c r="AN82" i="32"/>
  <c r="AN84" i="32"/>
  <c r="AN86" i="32"/>
  <c r="AN88" i="32"/>
  <c r="AN87" i="32"/>
  <c r="AN90" i="32"/>
  <c r="AE78" i="32"/>
  <c r="AE88" i="32"/>
  <c r="AE73" i="32"/>
  <c r="AE90" i="32"/>
  <c r="AE79" i="32"/>
  <c r="AE89" i="32"/>
  <c r="AE91" i="32"/>
  <c r="AE77" i="32"/>
  <c r="AE86" i="32"/>
  <c r="AE80" i="32"/>
  <c r="AE85" i="32"/>
  <c r="AE74" i="32"/>
  <c r="AE83" i="32"/>
  <c r="AE81" i="32"/>
  <c r="AE87" i="32"/>
  <c r="AE93" i="32"/>
  <c r="AE92" i="32"/>
  <c r="AE82" i="32"/>
  <c r="AE76" i="32"/>
  <c r="AE84" i="32"/>
  <c r="AE75" i="32"/>
  <c r="AP93" i="32"/>
  <c r="AP91" i="32"/>
  <c r="AP86" i="32"/>
  <c r="AP92" i="32"/>
  <c r="AP84" i="32"/>
  <c r="AP90" i="32"/>
  <c r="AP87" i="32"/>
  <c r="AP89" i="32"/>
  <c r="AP88" i="32"/>
  <c r="AP85" i="32"/>
  <c r="AC86" i="32"/>
  <c r="AC89" i="32"/>
  <c r="AC75" i="32"/>
  <c r="AC76" i="32"/>
  <c r="AC84" i="32"/>
  <c r="AC77" i="32"/>
  <c r="AC82" i="32"/>
  <c r="AC73" i="32"/>
  <c r="AC78" i="32"/>
  <c r="AC79" i="32"/>
  <c r="AC92" i="32"/>
  <c r="AC90" i="32"/>
  <c r="AC80" i="32"/>
  <c r="AC81" i="32"/>
  <c r="AC91" i="32"/>
  <c r="AC72" i="32"/>
  <c r="AC74" i="32"/>
  <c r="AC85" i="32"/>
  <c r="AC87" i="32"/>
  <c r="AC93" i="32"/>
  <c r="AC83" i="32"/>
  <c r="AC88" i="32"/>
  <c r="AC71" i="32"/>
  <c r="AB79" i="32"/>
  <c r="AB88" i="32"/>
  <c r="AB87" i="32"/>
  <c r="AB76" i="32"/>
  <c r="AB80" i="32"/>
  <c r="AB89" i="32"/>
  <c r="AB75" i="32"/>
  <c r="AB70" i="32"/>
  <c r="AB73" i="32"/>
  <c r="AB84" i="32"/>
  <c r="AB77" i="32"/>
  <c r="AB93" i="32"/>
  <c r="AB82" i="32"/>
  <c r="AB92" i="32"/>
  <c r="AB86" i="32"/>
  <c r="AB91" i="32"/>
  <c r="AB85" i="32"/>
  <c r="AB78" i="32"/>
  <c r="AB81" i="32"/>
  <c r="AB72" i="32"/>
  <c r="AB74" i="32"/>
  <c r="AB90" i="32"/>
  <c r="AB71" i="32"/>
  <c r="AB83" i="32"/>
  <c r="AO83" i="32"/>
  <c r="AO91" i="32"/>
  <c r="AO93" i="32"/>
  <c r="AO92" i="32"/>
  <c r="AO84" i="32"/>
  <c r="AO86" i="32"/>
  <c r="AO90" i="32"/>
  <c r="AO88" i="32"/>
  <c r="AO87" i="32"/>
  <c r="AO89" i="32"/>
  <c r="AO85" i="32"/>
  <c r="AJ83" i="32"/>
  <c r="AJ93" i="32"/>
  <c r="AJ81" i="32"/>
  <c r="AJ86" i="32"/>
  <c r="AJ79" i="32"/>
  <c r="AJ92" i="32"/>
  <c r="AJ90" i="32"/>
  <c r="AJ88" i="32"/>
  <c r="AJ87" i="32"/>
  <c r="AJ84" i="32"/>
  <c r="AJ78" i="32"/>
  <c r="AJ89" i="32"/>
  <c r="AJ91" i="32"/>
  <c r="AJ82" i="32"/>
  <c r="AJ80" i="32"/>
  <c r="AJ85" i="32"/>
  <c r="AF86" i="32"/>
  <c r="AF79" i="32"/>
  <c r="AF85" i="32"/>
  <c r="AF80" i="32"/>
  <c r="AF83" i="32"/>
  <c r="AF74" i="32"/>
  <c r="AF76" i="32"/>
  <c r="AF81" i="32"/>
  <c r="AF87" i="32"/>
  <c r="AF84" i="32"/>
  <c r="AF89" i="32"/>
  <c r="AF88" i="32"/>
  <c r="AF82" i="32"/>
  <c r="AF92" i="32"/>
  <c r="AF90" i="32"/>
  <c r="AF78" i="32"/>
  <c r="AF75" i="32"/>
  <c r="AF91" i="32"/>
  <c r="AF77" i="32"/>
  <c r="AF93" i="32"/>
  <c r="AT93" i="32"/>
  <c r="AT92" i="32"/>
  <c r="AT90" i="32"/>
  <c r="AT89" i="32"/>
  <c r="AT88" i="32"/>
  <c r="AT91" i="32"/>
  <c r="Z78" i="32"/>
  <c r="Z74" i="32"/>
  <c r="Z69" i="32"/>
  <c r="Z80" i="32"/>
  <c r="Z81" i="32"/>
  <c r="Z71" i="32"/>
  <c r="Z91" i="32"/>
  <c r="Z85" i="32"/>
  <c r="Z84" i="32"/>
  <c r="Z72" i="32"/>
  <c r="Z83" i="32"/>
  <c r="Z76" i="32"/>
  <c r="Z86" i="32"/>
  <c r="Z73" i="32"/>
  <c r="Z77" i="32"/>
  <c r="Z93" i="32"/>
  <c r="Z90" i="32"/>
  <c r="Z70" i="32"/>
  <c r="Z79" i="32"/>
  <c r="Z88" i="32"/>
  <c r="Z87" i="32"/>
  <c r="Z92" i="32"/>
  <c r="Z89" i="32"/>
  <c r="Z75" i="32"/>
  <c r="Z82" i="32"/>
  <c r="Z68" i="32"/>
  <c r="AQ88" i="32"/>
  <c r="AQ86" i="32"/>
  <c r="AQ87" i="32"/>
  <c r="AQ85" i="32"/>
  <c r="AQ92" i="32"/>
  <c r="AQ91" i="32"/>
  <c r="AQ89" i="32"/>
  <c r="AQ90" i="32"/>
  <c r="AQ93" i="32"/>
  <c r="AI80" i="32"/>
  <c r="AI81" i="32"/>
  <c r="AI85" i="32"/>
  <c r="AI88" i="32"/>
  <c r="AI91" i="32"/>
  <c r="AI92" i="32"/>
  <c r="AI77" i="32"/>
  <c r="AI86" i="32"/>
  <c r="AI78" i="32"/>
  <c r="AI79" i="32"/>
  <c r="AI82" i="32"/>
  <c r="AI83" i="32"/>
  <c r="AI93" i="32"/>
  <c r="AI90" i="32"/>
  <c r="AI84" i="32"/>
  <c r="AI87" i="32"/>
  <c r="AI89" i="32"/>
  <c r="AG80" i="32"/>
  <c r="AG91" i="32"/>
  <c r="AG84" i="32"/>
  <c r="AG88" i="32"/>
  <c r="AG87" i="32"/>
  <c r="AG90" i="32"/>
  <c r="AG85" i="32"/>
  <c r="AG82" i="32"/>
  <c r="AG75" i="32"/>
  <c r="AG93" i="32"/>
  <c r="AG77" i="32"/>
  <c r="AG86" i="32"/>
  <c r="AG78" i="32"/>
  <c r="AG81" i="32"/>
  <c r="AG89" i="32"/>
  <c r="AG76" i="32"/>
  <c r="AG79" i="32"/>
  <c r="AG92" i="32"/>
  <c r="AG83" i="32"/>
  <c r="AM82" i="32"/>
  <c r="AM86" i="32"/>
  <c r="AM88" i="32"/>
  <c r="AM93" i="32"/>
  <c r="AM81" i="32"/>
  <c r="AM90" i="32"/>
  <c r="AM89" i="32"/>
  <c r="AM85" i="32"/>
  <c r="AM92" i="32"/>
  <c r="AM83" i="32"/>
  <c r="AM91" i="32"/>
  <c r="AM84" i="32"/>
  <c r="AM87" i="32"/>
  <c r="AU90" i="32"/>
  <c r="AU91" i="32"/>
  <c r="AU93" i="32"/>
  <c r="AU92" i="32"/>
  <c r="AU89" i="32"/>
  <c r="AL81" i="32"/>
  <c r="AL90" i="32"/>
  <c r="AL85" i="32"/>
  <c r="AL92" i="32"/>
  <c r="AL86" i="32"/>
  <c r="AL80" i="32"/>
  <c r="AL82" i="32"/>
  <c r="AL83" i="32"/>
  <c r="AL88" i="32"/>
  <c r="AL87" i="32"/>
  <c r="AL89" i="32"/>
  <c r="AL91" i="32"/>
  <c r="AL84" i="32"/>
  <c r="AL93" i="32"/>
  <c r="AS90" i="32"/>
  <c r="AS92" i="32"/>
  <c r="AS87" i="32"/>
  <c r="AS93" i="32"/>
  <c r="AS91" i="32"/>
  <c r="AS88" i="32"/>
  <c r="AS89" i="32"/>
  <c r="AR92" i="32"/>
  <c r="AR88" i="32"/>
  <c r="AR89" i="32"/>
  <c r="AR93" i="32"/>
  <c r="AR90" i="32"/>
  <c r="AR86" i="32"/>
  <c r="AR87" i="32"/>
  <c r="AR91" i="32"/>
  <c r="AA92" i="32"/>
  <c r="AA71" i="32"/>
  <c r="AA74" i="32"/>
  <c r="AA72" i="32"/>
  <c r="AA83" i="32"/>
  <c r="AA76" i="32"/>
  <c r="AA79" i="32"/>
  <c r="AA88" i="32"/>
  <c r="AA87" i="32"/>
  <c r="AA75" i="32"/>
  <c r="AA78" i="32"/>
  <c r="AA70" i="32"/>
  <c r="AA89" i="32"/>
  <c r="AA90" i="32"/>
  <c r="AA77" i="32"/>
  <c r="AA93" i="32"/>
  <c r="AA86" i="32"/>
  <c r="AA80" i="32"/>
  <c r="AA73" i="32"/>
  <c r="AA84" i="32"/>
  <c r="AA91" i="32"/>
  <c r="AA81" i="32"/>
  <c r="AA69" i="32"/>
  <c r="AA85" i="32"/>
  <c r="AA82" i="32"/>
  <c r="Y68" i="32"/>
  <c r="Y92" i="32"/>
  <c r="Y87" i="32"/>
  <c r="Y89" i="32"/>
  <c r="Y84" i="32"/>
  <c r="Y69" i="32"/>
  <c r="Y82" i="32"/>
  <c r="Y74" i="32"/>
  <c r="Y90" i="32"/>
  <c r="Y83" i="32"/>
  <c r="Y93" i="32"/>
  <c r="Y81" i="32"/>
  <c r="Y72" i="32"/>
  <c r="Y75" i="32"/>
  <c r="Y78" i="32"/>
  <c r="Y76" i="32"/>
  <c r="Y85" i="32"/>
  <c r="Y70" i="32"/>
  <c r="Y67" i="32"/>
  <c r="Y71" i="32"/>
  <c r="Y73" i="32"/>
  <c r="Y91" i="32"/>
  <c r="Y77" i="32"/>
  <c r="Y86" i="32"/>
  <c r="Y79" i="32"/>
  <c r="Y80" i="32"/>
  <c r="Y88" i="32"/>
  <c r="I30" i="40" l="1"/>
  <c r="AH32" i="22"/>
  <c r="AI30" i="22" l="1"/>
  <c r="AH37" i="22"/>
  <c r="AH38" i="22" l="1"/>
  <c r="AI35" i="22" s="1"/>
  <c r="AI32" i="22"/>
  <c r="AH41" i="22" l="1"/>
  <c r="AJ30" i="22"/>
  <c r="AI37" i="22" l="1"/>
  <c r="AI38" i="22" l="1"/>
  <c r="AJ35" i="22" s="1"/>
  <c r="AJ32" i="22"/>
  <c r="AI41" i="22" l="1"/>
  <c r="AJ37" i="22" s="1"/>
  <c r="AK30" i="22"/>
  <c r="AJ38" i="22" l="1"/>
  <c r="AK35" i="22" s="1"/>
  <c r="AJ41" i="22" l="1"/>
  <c r="AK32" i="22"/>
  <c r="AK37" i="22" l="1"/>
  <c r="AL30" i="22"/>
  <c r="AK38" i="22" l="1"/>
  <c r="AL35" i="22" s="1"/>
  <c r="AK41" i="22" l="1"/>
  <c r="AL32" i="22"/>
  <c r="AM30" i="22" l="1"/>
  <c r="AL37" i="22"/>
  <c r="AL38" i="22" s="1"/>
  <c r="AL41" i="22" l="1"/>
  <c r="AM35" i="22"/>
  <c r="AM32" i="22"/>
  <c r="AN30" i="22" l="1"/>
  <c r="AM37" i="22"/>
  <c r="AM38" i="22" l="1"/>
  <c r="AN35" i="22" s="1"/>
  <c r="AM41" i="22" l="1"/>
  <c r="AN32" i="22"/>
  <c r="AO30" i="22" l="1"/>
  <c r="AN37" i="22"/>
  <c r="AN38" i="22" l="1"/>
  <c r="AN41" i="22" s="1"/>
  <c r="AO35" i="22" l="1"/>
  <c r="AO32" i="22"/>
  <c r="AP30" i="22" l="1"/>
  <c r="AO37" i="22"/>
  <c r="AO38" i="22" l="1"/>
  <c r="AO41" i="22" s="1"/>
  <c r="AP35" i="22" l="1"/>
  <c r="AP32" i="22"/>
  <c r="AQ30" i="22" l="1"/>
  <c r="AP37" i="22"/>
  <c r="AP38" i="22" s="1"/>
  <c r="AQ35" i="22" l="1"/>
  <c r="AP41" i="22"/>
  <c r="A1" i="22" l="1" a="1"/>
  <c r="A1" i="22" s="1"/>
  <c r="BA41" i="22" s="1"/>
  <c r="BA38" i="22" l="1"/>
  <c r="BA37" i="22"/>
  <c r="BA36" i="22"/>
  <c r="BA35" i="22"/>
  <c r="BA32" i="22"/>
  <c r="BA31" i="22"/>
  <c r="BA30" i="22"/>
  <c r="BA26" i="22"/>
  <c r="BA23" i="22"/>
  <c r="BA22" i="22"/>
  <c r="BA21" i="22"/>
  <c r="BA16" i="22"/>
  <c r="BA17" i="22"/>
  <c r="BA18" i="22"/>
  <c r="AQ32" i="22"/>
  <c r="Y18" i="22"/>
  <c r="AY28" i="15"/>
  <c r="AY37" i="2" s="1"/>
  <c r="AX28" i="15"/>
  <c r="AX37" i="2" s="1"/>
  <c r="AW28" i="15"/>
  <c r="AW37" i="2" s="1"/>
  <c r="AV28" i="15"/>
  <c r="AV37" i="2" s="1"/>
  <c r="AU28" i="15"/>
  <c r="AU37" i="2" s="1"/>
  <c r="AT59" i="15"/>
  <c r="AT10" i="32" s="1"/>
  <c r="AT22" i="32" s="1"/>
  <c r="AS10" i="32"/>
  <c r="AS22" i="32" s="1"/>
  <c r="AR10" i="32"/>
  <c r="AR22" i="32" s="1"/>
  <c r="AQ10" i="32"/>
  <c r="AQ22" i="32" s="1"/>
  <c r="AP10" i="32"/>
  <c r="AP22" i="32" s="1"/>
  <c r="AO10" i="32"/>
  <c r="AO22" i="32" s="1"/>
  <c r="AN59" i="15"/>
  <c r="AN10" i="32" s="1"/>
  <c r="AN22" i="32" s="1"/>
  <c r="AM59" i="15"/>
  <c r="AM10" i="32" s="1"/>
  <c r="AM22" i="32" s="1"/>
  <c r="AL59" i="15"/>
  <c r="AL10" i="32" s="1"/>
  <c r="AL22" i="32" s="1"/>
  <c r="AK59" i="15"/>
  <c r="AK10" i="32" s="1"/>
  <c r="AK22" i="32" s="1"/>
  <c r="AJ59" i="15"/>
  <c r="AJ10" i="32" s="1"/>
  <c r="AJ22" i="32" s="1"/>
  <c r="AI59" i="15"/>
  <c r="AI10" i="32" s="1"/>
  <c r="AI22" i="32" s="1"/>
  <c r="AH59" i="15"/>
  <c r="AH10" i="32" s="1"/>
  <c r="AH22" i="32" s="1"/>
  <c r="AG58" i="15"/>
  <c r="AF58" i="15"/>
  <c r="AE58" i="15"/>
  <c r="AD58" i="15"/>
  <c r="AC58" i="15"/>
  <c r="AB58" i="15"/>
  <c r="AA58" i="15"/>
  <c r="Z58" i="15"/>
  <c r="Y58" i="15"/>
  <c r="X58" i="15"/>
  <c r="AY52" i="15"/>
  <c r="AX52" i="15"/>
  <c r="AW52" i="15"/>
  <c r="AV52" i="15"/>
  <c r="AU52" i="15"/>
  <c r="I18" i="32"/>
  <c r="I12" i="32"/>
  <c r="I11" i="32"/>
  <c r="I16" i="32"/>
  <c r="AY49" i="15"/>
  <c r="AY14" i="32" s="1"/>
  <c r="AX49" i="15"/>
  <c r="AX14" i="32" s="1"/>
  <c r="AW49" i="15"/>
  <c r="AW14" i="32" s="1"/>
  <c r="AV49" i="15"/>
  <c r="AV14" i="32" s="1"/>
  <c r="AU49" i="15"/>
  <c r="AU14" i="32" s="1"/>
  <c r="AT49" i="15"/>
  <c r="AS49" i="15"/>
  <c r="AR49" i="15"/>
  <c r="AQ49" i="15"/>
  <c r="AP49" i="15"/>
  <c r="AO49" i="15"/>
  <c r="AN49" i="15"/>
  <c r="AM49" i="15"/>
  <c r="AL49" i="15"/>
  <c r="AK49" i="15"/>
  <c r="AJ49" i="15"/>
  <c r="AI49" i="15"/>
  <c r="AH49" i="15"/>
  <c r="G45" i="14"/>
  <c r="AY23" i="15"/>
  <c r="AY42" i="2" s="1"/>
  <c r="AX23" i="15"/>
  <c r="AX42" i="2" s="1"/>
  <c r="AW23" i="15"/>
  <c r="AW42" i="2" s="1"/>
  <c r="AV23" i="15"/>
  <c r="AV42" i="2" s="1"/>
  <c r="AU23" i="15"/>
  <c r="AU42" i="2" s="1"/>
  <c r="AY25" i="15"/>
  <c r="AY44" i="2" s="1"/>
  <c r="AX25" i="15"/>
  <c r="AX44" i="2" s="1"/>
  <c r="AW25" i="15"/>
  <c r="AW44" i="2" s="1"/>
  <c r="AV25" i="15"/>
  <c r="AV44" i="2" s="1"/>
  <c r="AU25" i="15"/>
  <c r="AU44" i="2" s="1"/>
  <c r="AY24" i="15"/>
  <c r="AY43" i="2" s="1"/>
  <c r="AX24" i="15"/>
  <c r="AX43" i="2" s="1"/>
  <c r="AW24" i="15"/>
  <c r="AW43" i="2" s="1"/>
  <c r="AV24" i="15"/>
  <c r="AV43" i="2" s="1"/>
  <c r="AU24" i="15"/>
  <c r="AU43" i="2" s="1"/>
  <c r="AY22" i="15"/>
  <c r="AY41" i="2" s="1"/>
  <c r="AX22" i="15"/>
  <c r="AX41" i="2" s="1"/>
  <c r="AW22" i="15"/>
  <c r="AW41" i="2" s="1"/>
  <c r="AV22" i="15"/>
  <c r="AV41" i="2" s="1"/>
  <c r="AU22" i="15"/>
  <c r="AU41" i="2" s="1"/>
  <c r="AY21" i="15"/>
  <c r="AY40" i="2" s="1"/>
  <c r="AX21" i="15"/>
  <c r="AX40" i="2" s="1"/>
  <c r="AW21" i="15"/>
  <c r="AW40" i="2" s="1"/>
  <c r="AV21" i="15"/>
  <c r="AV40" i="2" s="1"/>
  <c r="AU21" i="15"/>
  <c r="AU40" i="2" s="1"/>
  <c r="AY15" i="15"/>
  <c r="AY34" i="2" s="1"/>
  <c r="AX15" i="15"/>
  <c r="AX34" i="2" s="1"/>
  <c r="AW15" i="15"/>
  <c r="AW34" i="2" s="1"/>
  <c r="AV15" i="15"/>
  <c r="AV34" i="2" s="1"/>
  <c r="AU15" i="15"/>
  <c r="AU34" i="2" s="1"/>
  <c r="AY17" i="15"/>
  <c r="AY36" i="2" s="1"/>
  <c r="AX17" i="15"/>
  <c r="AX36" i="2" s="1"/>
  <c r="AW17" i="15"/>
  <c r="AW36" i="2" s="1"/>
  <c r="AV17" i="15"/>
  <c r="AV36" i="2" s="1"/>
  <c r="AU17" i="15"/>
  <c r="AU36" i="2" s="1"/>
  <c r="AY16" i="15"/>
  <c r="AY35" i="2" s="1"/>
  <c r="AX16" i="15"/>
  <c r="AX35" i="2" s="1"/>
  <c r="AW16" i="15"/>
  <c r="AW35" i="2" s="1"/>
  <c r="AV16" i="15"/>
  <c r="AV35" i="2" s="1"/>
  <c r="AU16" i="15"/>
  <c r="AU35" i="2" s="1"/>
  <c r="AY14" i="15"/>
  <c r="AY33" i="2" s="1"/>
  <c r="AX14" i="15"/>
  <c r="AX33" i="2" s="1"/>
  <c r="AW14" i="15"/>
  <c r="AW33" i="2" s="1"/>
  <c r="AV14" i="15"/>
  <c r="AV33" i="2" s="1"/>
  <c r="AU14" i="15"/>
  <c r="AU33" i="2" s="1"/>
  <c r="AY13" i="15"/>
  <c r="AY32" i="2" s="1"/>
  <c r="AX13" i="15"/>
  <c r="AX32" i="2" s="1"/>
  <c r="AW13" i="15"/>
  <c r="AW32" i="2" s="1"/>
  <c r="AV13" i="15"/>
  <c r="AV32" i="2" s="1"/>
  <c r="AU13" i="15"/>
  <c r="AU32" i="2" s="1"/>
  <c r="AY12" i="15"/>
  <c r="AX12" i="15"/>
  <c r="AW12" i="15"/>
  <c r="AV12" i="15"/>
  <c r="D43" i="2" a="1"/>
  <c r="D41" i="2" a="1"/>
  <c r="D44" i="2" a="1"/>
  <c r="D36" i="2" a="1"/>
  <c r="D33" i="2" a="1"/>
  <c r="D42" i="2" a="1"/>
  <c r="D32" i="2" a="1"/>
  <c r="D35" i="2" a="1"/>
  <c r="D40" i="2" a="1"/>
  <c r="D34" i="2" a="1"/>
  <c r="D37" i="2" a="1"/>
  <c r="AX78" i="40" l="1"/>
  <c r="AV78" i="40"/>
  <c r="AW78" i="40"/>
  <c r="AY78" i="40"/>
  <c r="I58" i="40"/>
  <c r="AO14" i="32"/>
  <c r="AH14" i="32"/>
  <c r="AP14" i="32"/>
  <c r="AB9" i="32"/>
  <c r="AB22" i="32" s="1"/>
  <c r="AI14" i="32"/>
  <c r="AQ14" i="32"/>
  <c r="AC9" i="32"/>
  <c r="AC22" i="32" s="1"/>
  <c r="AJ14" i="32"/>
  <c r="AR14" i="32"/>
  <c r="AD9" i="32"/>
  <c r="AD22" i="32" s="1"/>
  <c r="AK14" i="32"/>
  <c r="AS14" i="32"/>
  <c r="AE9" i="32"/>
  <c r="AE22" i="32" s="1"/>
  <c r="AL14" i="32"/>
  <c r="AT14" i="32"/>
  <c r="AT130" i="32"/>
  <c r="AK130" i="32"/>
  <c r="AB130" i="32"/>
  <c r="AA130" i="32"/>
  <c r="Z130" i="32"/>
  <c r="AG130" i="32"/>
  <c r="AM130" i="32"/>
  <c r="AK129" i="32"/>
  <c r="AE129" i="32"/>
  <c r="AJ129" i="32"/>
  <c r="AA129" i="32"/>
  <c r="AY129" i="32"/>
  <c r="AN130" i="32"/>
  <c r="AW130" i="32"/>
  <c r="AO130" i="32"/>
  <c r="AL130" i="32"/>
  <c r="AC130" i="32"/>
  <c r="AU129" i="32"/>
  <c r="AT129" i="32"/>
  <c r="AS129" i="32"/>
  <c r="Y130" i="32"/>
  <c r="AE130" i="32"/>
  <c r="AL129" i="32"/>
  <c r="AX129" i="32"/>
  <c r="AD129" i="32"/>
  <c r="AP129" i="32"/>
  <c r="AV130" i="32"/>
  <c r="AG129" i="32"/>
  <c r="AP130" i="32"/>
  <c r="AJ130" i="32"/>
  <c r="AD130" i="32"/>
  <c r="AV129" i="32"/>
  <c r="AM129" i="32"/>
  <c r="AR129" i="32"/>
  <c r="AF130" i="32"/>
  <c r="AH129" i="32"/>
  <c r="AX130" i="32"/>
  <c r="Z129" i="32"/>
  <c r="AI129" i="32"/>
  <c r="AS130" i="32"/>
  <c r="AW129" i="32"/>
  <c r="AN129" i="32"/>
  <c r="AC129" i="32"/>
  <c r="AF129" i="32"/>
  <c r="AB129" i="32"/>
  <c r="AY130" i="32"/>
  <c r="AQ129" i="32"/>
  <c r="AQ130" i="32"/>
  <c r="AH130" i="32"/>
  <c r="AO129" i="32"/>
  <c r="AR130" i="32"/>
  <c r="AI130" i="32"/>
  <c r="AU130" i="32"/>
  <c r="Y129" i="32"/>
  <c r="X9" i="32"/>
  <c r="AF9" i="32"/>
  <c r="AF22" i="32" s="1"/>
  <c r="AM14" i="32"/>
  <c r="I96" i="32"/>
  <c r="AV97" i="32" s="1"/>
  <c r="Y9" i="32"/>
  <c r="Y22" i="32" s="1"/>
  <c r="AG9" i="32"/>
  <c r="AG22" i="32" s="1"/>
  <c r="AN14" i="32"/>
  <c r="Z9" i="32"/>
  <c r="Z22" i="32" s="1"/>
  <c r="AA9" i="32"/>
  <c r="AA22" i="32" s="1"/>
  <c r="AX31" i="2"/>
  <c r="AW31" i="2"/>
  <c r="AV31" i="2"/>
  <c r="AY31" i="2"/>
  <c r="I13" i="32"/>
  <c r="I28" i="32" s="1"/>
  <c r="AR30" i="22"/>
  <c r="AQ37" i="22"/>
  <c r="D37" i="2"/>
  <c r="AB57" i="32"/>
  <c r="AB51" i="32"/>
  <c r="AC47" i="32"/>
  <c r="AC45" i="32"/>
  <c r="AE43" i="32"/>
  <c r="Y42" i="32"/>
  <c r="Y38" i="32"/>
  <c r="AK49" i="32"/>
  <c r="AB43" i="32"/>
  <c r="AF44" i="32"/>
  <c r="AD44" i="32"/>
  <c r="AF56" i="32"/>
  <c r="AH50" i="32"/>
  <c r="AA47" i="32"/>
  <c r="AB45" i="32"/>
  <c r="AC43" i="32"/>
  <c r="AC41" i="32"/>
  <c r="Y37" i="32"/>
  <c r="AH46" i="32"/>
  <c r="Z41" i="32"/>
  <c r="Z55" i="32"/>
  <c r="AA43" i="32"/>
  <c r="Z43" i="32"/>
  <c r="Z48" i="32"/>
  <c r="AY63" i="32"/>
  <c r="Z42" i="32"/>
  <c r="AP55" i="32"/>
  <c r="AA45" i="32"/>
  <c r="AE46" i="32"/>
  <c r="AB40" i="32"/>
  <c r="AG53" i="32"/>
  <c r="AC42" i="32"/>
  <c r="AD52" i="32"/>
  <c r="AF47" i="32"/>
  <c r="AE49" i="32"/>
  <c r="Y40" i="32"/>
  <c r="AA44" i="32"/>
  <c r="AM53" i="32"/>
  <c r="AG48" i="32"/>
  <c r="AC46" i="32"/>
  <c r="AA40" i="32"/>
  <c r="Z46" i="32"/>
  <c r="Z40" i="32"/>
  <c r="AI47" i="32"/>
  <c r="AB44" i="32"/>
  <c r="AE58" i="32"/>
  <c r="AD45" i="32"/>
  <c r="AC44" i="32"/>
  <c r="AA42" i="32"/>
  <c r="Y39" i="32"/>
  <c r="AF45" i="32"/>
  <c r="AJ51" i="32"/>
  <c r="Z38" i="32"/>
  <c r="Y48" i="32"/>
  <c r="AA41" i="32"/>
  <c r="Z50" i="32"/>
  <c r="Z44" i="32"/>
  <c r="AJ54" i="32"/>
  <c r="AN52" i="32"/>
  <c r="Y53" i="32"/>
  <c r="AB55" i="32"/>
  <c r="AK55" i="32"/>
  <c r="AL55" i="32"/>
  <c r="AA50" i="32"/>
  <c r="AD55" i="32"/>
  <c r="AG49" i="32"/>
  <c r="AL54" i="32"/>
  <c r="Z49" i="32"/>
  <c r="AB54" i="32"/>
  <c r="AE48" i="32"/>
  <c r="AF53" i="32"/>
  <c r="AH62" i="32"/>
  <c r="AM55" i="32"/>
  <c r="AS62" i="32"/>
  <c r="AN55" i="32"/>
  <c r="AE63" i="32"/>
  <c r="AG55" i="32"/>
  <c r="AL61" i="32"/>
  <c r="AS58" i="32"/>
  <c r="AT61" i="32"/>
  <c r="AA60" i="32"/>
  <c r="AH63" i="32"/>
  <c r="AQ59" i="32"/>
  <c r="AW62" i="32"/>
  <c r="AJ59" i="32"/>
  <c r="AM62" i="32"/>
  <c r="AC59" i="32"/>
  <c r="AC62" i="32"/>
  <c r="AD59" i="32"/>
  <c r="AE62" i="32"/>
  <c r="AE61" i="32"/>
  <c r="AR63" i="32"/>
  <c r="AD63" i="32"/>
  <c r="AO62" i="32"/>
  <c r="AM61" i="32"/>
  <c r="AL63" i="32"/>
  <c r="AC61" i="32"/>
  <c r="AF57" i="32"/>
  <c r="AP63" i="32"/>
  <c r="AL62" i="32"/>
  <c r="AP61" i="32"/>
  <c r="AF61" i="32"/>
  <c r="AT62" i="32"/>
  <c r="AB41" i="32"/>
  <c r="AM52" i="32"/>
  <c r="AG52" i="32"/>
  <c r="AP54" i="32"/>
  <c r="AJ62" i="32"/>
  <c r="AJ58" i="32"/>
  <c r="Y41" i="32"/>
  <c r="AJ49" i="32"/>
  <c r="AD42" i="32"/>
  <c r="Z52" i="32"/>
  <c r="Z45" i="32"/>
  <c r="AI56" i="32"/>
  <c r="AA55" i="32"/>
  <c r="AC55" i="32"/>
  <c r="AH56" i="32"/>
  <c r="AQ56" i="32"/>
  <c r="AA57" i="32"/>
  <c r="AI50" i="32"/>
  <c r="Y56" i="32"/>
  <c r="AB50" i="32"/>
  <c r="AH55" i="32"/>
  <c r="AH49" i="32"/>
  <c r="AM54" i="32"/>
  <c r="AA49" i="32"/>
  <c r="AC54" i="32"/>
  <c r="AH52" i="32"/>
  <c r="AB56" i="32"/>
  <c r="AI52" i="32"/>
  <c r="AC56" i="32"/>
  <c r="AB52" i="32"/>
  <c r="AO55" i="32"/>
  <c r="AF63" i="32"/>
  <c r="AE59" i="32"/>
  <c r="AG62" i="32"/>
  <c r="AI60" i="32"/>
  <c r="AD57" i="32"/>
  <c r="AB60" i="32"/>
  <c r="AI63" i="32"/>
  <c r="AR59" i="32"/>
  <c r="AX62" i="32"/>
  <c r="AK59" i="32"/>
  <c r="AL59" i="32"/>
  <c r="AP62" i="32"/>
  <c r="Y61" i="32"/>
  <c r="AG61" i="32"/>
  <c r="Y58" i="32"/>
  <c r="AE60" i="32"/>
  <c r="AN63" i="32"/>
  <c r="AW61" i="32"/>
  <c r="Z59" i="32"/>
  <c r="AG63" i="32"/>
  <c r="AO60" i="32"/>
  <c r="AJ48" i="32"/>
  <c r="Y52" i="32"/>
  <c r="Z61" i="32"/>
  <c r="AI58" i="32"/>
  <c r="AB42" i="32"/>
  <c r="AI51" i="32"/>
  <c r="Y44" i="32"/>
  <c r="AF54" i="32"/>
  <c r="Y46" i="32"/>
  <c r="AR62" i="32"/>
  <c r="AC57" i="32"/>
  <c r="AD58" i="32"/>
  <c r="AF58" i="32"/>
  <c r="AG60" i="32"/>
  <c r="AH60" i="32"/>
  <c r="AC51" i="32"/>
  <c r="AM56" i="32"/>
  <c r="AJ50" i="32"/>
  <c r="Z56" i="32"/>
  <c r="AC50" i="32"/>
  <c r="AI55" i="32"/>
  <c r="AI49" i="32"/>
  <c r="AN54" i="32"/>
  <c r="Z53" i="32"/>
  <c r="AJ56" i="32"/>
  <c r="AA53" i="32"/>
  <c r="AK56" i="32"/>
  <c r="AJ52" i="32"/>
  <c r="AD56" i="32"/>
  <c r="AT63" i="32"/>
  <c r="AM59" i="32"/>
  <c r="AQ62" i="32"/>
  <c r="AQ60" i="32"/>
  <c r="AL57" i="32"/>
  <c r="AJ60" i="32"/>
  <c r="AE57" i="32"/>
  <c r="AC60" i="32"/>
  <c r="AK63" i="32"/>
  <c r="AS59" i="32"/>
  <c r="Z63" i="32"/>
  <c r="AT59" i="32"/>
  <c r="AA63" i="32"/>
  <c r="AU61" i="32"/>
  <c r="AU63" i="32"/>
  <c r="AR60" i="32"/>
  <c r="AD60" i="32"/>
  <c r="AD62" i="32"/>
  <c r="Y63" i="32"/>
  <c r="Z62" i="32"/>
  <c r="AB58" i="32"/>
  <c r="AD46" i="32"/>
  <c r="AN53" i="32"/>
  <c r="AO54" i="32"/>
  <c r="AC58" i="32"/>
  <c r="AQ61" i="32"/>
  <c r="AB63" i="32"/>
  <c r="AD43" i="32"/>
  <c r="AK53" i="32"/>
  <c r="Y45" i="32"/>
  <c r="AG56" i="32"/>
  <c r="AG46" i="32"/>
  <c r="AA46" i="32"/>
  <c r="AB46" i="32"/>
  <c r="AH48" i="32"/>
  <c r="AB49" i="32"/>
  <c r="AC49" i="32"/>
  <c r="AK51" i="32"/>
  <c r="AG57" i="32"/>
  <c r="AD51" i="32"/>
  <c r="AN56" i="32"/>
  <c r="AK50" i="32"/>
  <c r="AA56" i="32"/>
  <c r="AD50" i="32"/>
  <c r="AJ55" i="32"/>
  <c r="AH53" i="32"/>
  <c r="AR56" i="32"/>
  <c r="AI53" i="32"/>
  <c r="Y57" i="32"/>
  <c r="AB53" i="32"/>
  <c r="AL56" i="32"/>
  <c r="AI62" i="32"/>
  <c r="AU59" i="32"/>
  <c r="AC63" i="32"/>
  <c r="AM57" i="32"/>
  <c r="AK60" i="32"/>
  <c r="AM63" i="32"/>
  <c r="AO61" i="32"/>
  <c r="AN60" i="32"/>
  <c r="AA58" i="32"/>
  <c r="AF62" i="32"/>
  <c r="AI48" i="32"/>
  <c r="AL52" i="32"/>
  <c r="AC48" i="32"/>
  <c r="AS57" i="32"/>
  <c r="AN58" i="32"/>
  <c r="AP58" i="32"/>
  <c r="AO63" i="32"/>
  <c r="AE44" i="32"/>
  <c r="AQ55" i="32"/>
  <c r="AG45" i="32"/>
  <c r="AP60" i="32"/>
  <c r="AE47" i="32"/>
  <c r="Y47" i="32"/>
  <c r="Z47" i="32"/>
  <c r="Y50" i="32"/>
  <c r="AE50" i="32"/>
  <c r="AF50" i="32"/>
  <c r="AE52" i="32"/>
  <c r="Y59" i="32"/>
  <c r="AL51" i="32"/>
  <c r="AI57" i="32"/>
  <c r="AE51" i="32"/>
  <c r="AO56" i="32"/>
  <c r="AL50" i="32"/>
  <c r="AE56" i="32"/>
  <c r="Y54" i="32"/>
  <c r="AJ57" i="32"/>
  <c r="Z54" i="32"/>
  <c r="AK57" i="32"/>
  <c r="AJ53" i="32"/>
  <c r="Z57" i="32"/>
  <c r="AH57" i="32"/>
  <c r="AF60" i="32"/>
  <c r="AQ63" i="32"/>
  <c r="AN61" i="32"/>
  <c r="AG58" i="32"/>
  <c r="AD61" i="32"/>
  <c r="Z58" i="32"/>
  <c r="AS60" i="32"/>
  <c r="AN57" i="32"/>
  <c r="AL60" i="32"/>
  <c r="AO57" i="32"/>
  <c r="AM60" i="32"/>
  <c r="AS63" i="32"/>
  <c r="AO58" i="32"/>
  <c r="AT60" i="32"/>
  <c r="AV63" i="32"/>
  <c r="AD49" i="32"/>
  <c r="AC52" i="32"/>
  <c r="AV61" i="32"/>
  <c r="AO59" i="32"/>
  <c r="AH59" i="32"/>
  <c r="AH61" i="32"/>
  <c r="AN62" i="32"/>
  <c r="AE45" i="32"/>
  <c r="AT58" i="32"/>
  <c r="AF46" i="32"/>
  <c r="AA39" i="32"/>
  <c r="AF48" i="32"/>
  <c r="AG47" i="32"/>
  <c r="AH47" i="32"/>
  <c r="AA51" i="32"/>
  <c r="AG51" i="32"/>
  <c r="AH51" i="32"/>
  <c r="AB48" i="32"/>
  <c r="AC53" i="32"/>
  <c r="AA61" i="32"/>
  <c r="AF52" i="32"/>
  <c r="AF59" i="32"/>
  <c r="AM51" i="32"/>
  <c r="AR57" i="32"/>
  <c r="AF51" i="32"/>
  <c r="AP56" i="32"/>
  <c r="AG54" i="32"/>
  <c r="AL58" i="32"/>
  <c r="AH54" i="32"/>
  <c r="AM58" i="32"/>
  <c r="AA54" i="32"/>
  <c r="AQ57" i="32"/>
  <c r="AP57" i="32"/>
  <c r="AH58" i="32"/>
  <c r="AV60" i="32"/>
  <c r="AG50" i="32"/>
  <c r="AD53" i="32"/>
  <c r="Y60" i="32"/>
  <c r="AA62" i="32"/>
  <c r="AW63" i="32"/>
  <c r="AB47" i="32"/>
  <c r="Z39" i="32"/>
  <c r="AA48" i="32"/>
  <c r="Y43" i="32"/>
  <c r="AA52" i="32"/>
  <c r="Y51" i="32"/>
  <c r="Z51" i="32"/>
  <c r="AL53" i="32"/>
  <c r="AD54" i="32"/>
  <c r="AE54" i="32"/>
  <c r="AF49" i="32"/>
  <c r="AK54" i="32"/>
  <c r="Y49" i="32"/>
  <c r="AO53" i="32"/>
  <c r="AD48" i="32"/>
  <c r="AE53" i="32"/>
  <c r="Y62" i="32"/>
  <c r="AK52" i="32"/>
  <c r="AN59" i="32"/>
  <c r="AE55" i="32"/>
  <c r="AB61" i="32"/>
  <c r="AF55" i="32"/>
  <c r="AK61" i="32"/>
  <c r="Y55" i="32"/>
  <c r="Z60" i="32"/>
  <c r="AK58" i="32"/>
  <c r="AJ61" i="32"/>
  <c r="AP59" i="32"/>
  <c r="AU62" i="32"/>
  <c r="AI59" i="32"/>
  <c r="AK62" i="32"/>
  <c r="AB59" i="32"/>
  <c r="AB62" i="32"/>
  <c r="AQ58" i="32"/>
  <c r="AR61" i="32"/>
  <c r="AR58" i="32"/>
  <c r="AS61" i="32"/>
  <c r="AU60" i="32"/>
  <c r="AJ63" i="32"/>
  <c r="AV62" i="32"/>
  <c r="AX63" i="32"/>
  <c r="AD47" i="32"/>
  <c r="AG59" i="32"/>
  <c r="AI54" i="32"/>
  <c r="AA59" i="32"/>
  <c r="AI61" i="32"/>
  <c r="I34" i="32"/>
  <c r="AX17" i="32"/>
  <c r="AY93" i="32" s="1"/>
  <c r="AX12" i="22"/>
  <c r="AD24" i="32"/>
  <c r="AA24" i="32"/>
  <c r="AO24" i="32"/>
  <c r="Z24" i="32"/>
  <c r="AX24" i="32"/>
  <c r="AR24" i="32"/>
  <c r="AG24" i="32"/>
  <c r="Y24" i="32"/>
  <c r="AM24" i="32"/>
  <c r="AI24" i="32"/>
  <c r="X24" i="32"/>
  <c r="AP24" i="32"/>
  <c r="AF24" i="32"/>
  <c r="AN24" i="32"/>
  <c r="AE24" i="32"/>
  <c r="AT24" i="32"/>
  <c r="AQ24" i="32"/>
  <c r="AW24" i="32"/>
  <c r="AS24" i="32"/>
  <c r="AJ24" i="32"/>
  <c r="AB24" i="32"/>
  <c r="AU24" i="32"/>
  <c r="AY24" i="32"/>
  <c r="AK24" i="32"/>
  <c r="AL24" i="32"/>
  <c r="AC24" i="32"/>
  <c r="AV24" i="32"/>
  <c r="AH24" i="32"/>
  <c r="AY17" i="32"/>
  <c r="AY12" i="22"/>
  <c r="I9" i="22"/>
  <c r="AU17" i="32"/>
  <c r="AU12" i="22"/>
  <c r="AV17" i="32"/>
  <c r="AV12" i="22"/>
  <c r="AW17" i="32"/>
  <c r="AW12" i="22"/>
  <c r="Z16" i="22"/>
  <c r="D33" i="2"/>
  <c r="D42" i="2"/>
  <c r="D41" i="2"/>
  <c r="D36" i="2"/>
  <c r="D44" i="2"/>
  <c r="D32" i="2"/>
  <c r="D40" i="2"/>
  <c r="D35" i="2"/>
  <c r="D43" i="2"/>
  <c r="D34" i="2"/>
  <c r="AW120" i="15"/>
  <c r="AX120" i="15"/>
  <c r="AY120" i="15"/>
  <c r="AV120" i="15"/>
  <c r="D9" i="32" a="1"/>
  <c r="D14" i="32" a="1"/>
  <c r="AB97" i="32" l="1"/>
  <c r="AU97" i="32"/>
  <c r="AJ97" i="32"/>
  <c r="AK97" i="32"/>
  <c r="AI97" i="32"/>
  <c r="AQ97" i="32"/>
  <c r="AN97" i="32"/>
  <c r="AD97" i="32"/>
  <c r="AP97" i="32"/>
  <c r="AT97" i="32"/>
  <c r="AX97" i="32"/>
  <c r="AM97" i="32"/>
  <c r="AC97" i="32"/>
  <c r="AH97" i="32"/>
  <c r="AE97" i="32"/>
  <c r="AG97" i="32"/>
  <c r="AR97" i="32"/>
  <c r="AA97" i="32"/>
  <c r="Z97" i="32"/>
  <c r="AW97" i="32"/>
  <c r="AO29" i="32"/>
  <c r="AO31" i="32" s="1"/>
  <c r="AY29" i="32"/>
  <c r="AY31" i="32" s="1"/>
  <c r="AX29" i="32"/>
  <c r="AX31" i="32" s="1"/>
  <c r="AU29" i="32"/>
  <c r="AU31" i="32" s="1"/>
  <c r="Y97" i="32"/>
  <c r="AF97" i="32"/>
  <c r="AL97" i="32"/>
  <c r="AY97" i="32"/>
  <c r="AS29" i="32"/>
  <c r="AS31" i="32" s="1"/>
  <c r="AO97" i="32"/>
  <c r="AS97" i="32"/>
  <c r="D14" i="32"/>
  <c r="D9" i="32"/>
  <c r="X22" i="32"/>
  <c r="X62" i="40" s="1"/>
  <c r="I44" i="40" a="1"/>
  <c r="I44" i="40" s="1"/>
  <c r="I63" i="40"/>
  <c r="AT29" i="32"/>
  <c r="AT31" i="32" s="1"/>
  <c r="AJ29" i="32"/>
  <c r="AJ31" i="32" s="1"/>
  <c r="AW29" i="32"/>
  <c r="AW31" i="32" s="1"/>
  <c r="AL29" i="32"/>
  <c r="AL31" i="32" s="1"/>
  <c r="AQ29" i="32"/>
  <c r="AQ31" i="32" s="1"/>
  <c r="AP29" i="32"/>
  <c r="AP31" i="32" s="1"/>
  <c r="AM29" i="32"/>
  <c r="AM31" i="32" s="1"/>
  <c r="AI29" i="32"/>
  <c r="AI31" i="32" s="1"/>
  <c r="AH29" i="32"/>
  <c r="AH31" i="32" s="1"/>
  <c r="AV29" i="32"/>
  <c r="AV31" i="32" s="1"/>
  <c r="AN29" i="32"/>
  <c r="AN31" i="32" s="1"/>
  <c r="AK29" i="32"/>
  <c r="AK31" i="32" s="1"/>
  <c r="AR29" i="32"/>
  <c r="AR31" i="32" s="1"/>
  <c r="Y22" i="22"/>
  <c r="AQ38" i="22"/>
  <c r="AR35" i="22" s="1"/>
  <c r="AX92" i="32"/>
  <c r="AX93" i="32"/>
  <c r="AV90" i="32"/>
  <c r="AV93" i="32"/>
  <c r="AV92" i="32"/>
  <c r="AV91" i="32"/>
  <c r="AW92" i="32"/>
  <c r="AW91" i="32"/>
  <c r="AW93" i="32"/>
  <c r="Z18" i="22"/>
  <c r="X43" i="40" l="1" a="1"/>
  <c r="X43" i="40" s="1"/>
  <c r="Y23" i="22"/>
  <c r="Z21" i="22" s="1"/>
  <c r="AQ41" i="22"/>
  <c r="AA16" i="22"/>
  <c r="AV8" i="2"/>
  <c r="AW7" i="2"/>
  <c r="AU9" i="2"/>
  <c r="AX11" i="2"/>
  <c r="AV10" i="2"/>
  <c r="AX7" i="2"/>
  <c r="AV9" i="2"/>
  <c r="AY11" i="2"/>
  <c r="AW10" i="2"/>
  <c r="AU12" i="2"/>
  <c r="AW9" i="2"/>
  <c r="AU8" i="2"/>
  <c r="AX9" i="2"/>
  <c r="AV12" i="2"/>
  <c r="AY10" i="2"/>
  <c r="AY7" i="2"/>
  <c r="AY9" i="2"/>
  <c r="AW8" i="2"/>
  <c r="AU11" i="2"/>
  <c r="AX12" i="2"/>
  <c r="AX10" i="2"/>
  <c r="AX8" i="2"/>
  <c r="AV11" i="2"/>
  <c r="AY12" i="2"/>
  <c r="AW12" i="2"/>
  <c r="AV7" i="2"/>
  <c r="AY8" i="2"/>
  <c r="AW11" i="2"/>
  <c r="AU10" i="2"/>
  <c r="BD436" i="14"/>
  <c r="BC436" i="14"/>
  <c r="BB436" i="14"/>
  <c r="G44" i="14"/>
  <c r="G46" i="14"/>
  <c r="G43" i="14"/>
  <c r="G42" i="14"/>
  <c r="G41" i="14"/>
  <c r="G38" i="14"/>
  <c r="G35" i="14"/>
  <c r="G30" i="14"/>
  <c r="BD19" i="14"/>
  <c r="BC19" i="14"/>
  <c r="BB19" i="14"/>
  <c r="G19" i="14"/>
  <c r="BD11" i="14"/>
  <c r="BC11" i="14"/>
  <c r="BB11" i="14"/>
  <c r="D12" i="2" a="1"/>
  <c r="D11" i="2" a="1"/>
  <c r="D10" i="2" a="1"/>
  <c r="D8" i="2" a="1"/>
  <c r="D9" i="2" a="1"/>
  <c r="Y26" i="22" l="1"/>
  <c r="AR32" i="22"/>
  <c r="AA18" i="22"/>
  <c r="D10" i="2"/>
  <c r="D8" i="2"/>
  <c r="D11" i="2"/>
  <c r="D9" i="2"/>
  <c r="D12" i="2"/>
  <c r="I24" i="13"/>
  <c r="I47" i="40" l="1" a="1"/>
  <c r="I47" i="40" s="1"/>
  <c r="I66" i="40"/>
  <c r="Y63" i="40"/>
  <c r="Y44" i="40" a="1"/>
  <c r="Y44" i="40" s="1"/>
  <c r="Z22" i="22"/>
  <c r="AS30" i="22"/>
  <c r="AR37" i="22"/>
  <c r="AB16" i="22"/>
  <c r="BB35" i="11"/>
  <c r="BB34" i="11"/>
  <c r="BB33" i="11"/>
  <c r="BB32" i="11"/>
  <c r="BB31" i="11"/>
  <c r="BB30" i="11"/>
  <c r="A1" i="12" a="1"/>
  <c r="A1" i="12" s="1"/>
  <c r="BA21" i="12" s="1"/>
  <c r="A1" i="11" a="1"/>
  <c r="A1" i="11" s="1"/>
  <c r="BA90" i="11" s="1"/>
  <c r="A1" i="13" a="1"/>
  <c r="A1" i="13" s="1"/>
  <c r="BA77" i="13" s="1"/>
  <c r="A1" i="9" a="1"/>
  <c r="A1" i="9" s="1"/>
  <c r="A1" i="4" a="1"/>
  <c r="A1" i="4" s="1"/>
  <c r="A1" i="14" a="1"/>
  <c r="A1" i="14" s="1"/>
  <c r="A1" i="15" a="1"/>
  <c r="A1" i="15" s="1"/>
  <c r="A1" i="2" a="1"/>
  <c r="A1" i="2" s="1"/>
  <c r="BA579" i="14" l="1"/>
  <c r="BA592" i="14"/>
  <c r="BA281" i="15"/>
  <c r="BA285" i="15"/>
  <c r="BA260" i="15"/>
  <c r="BA271" i="15"/>
  <c r="BA252" i="15"/>
  <c r="BA256" i="15"/>
  <c r="BA255" i="15"/>
  <c r="BA258" i="15"/>
  <c r="BA257" i="15"/>
  <c r="BA254" i="15"/>
  <c r="BA250" i="15"/>
  <c r="BA251" i="15"/>
  <c r="BA117" i="15"/>
  <c r="BA249" i="15"/>
  <c r="BA125" i="13"/>
  <c r="BA126" i="13"/>
  <c r="BA596" i="14"/>
  <c r="BA597" i="14"/>
  <c r="BA560" i="14"/>
  <c r="BA561" i="14"/>
  <c r="BA553" i="14"/>
  <c r="BA554" i="14"/>
  <c r="BA49" i="14"/>
  <c r="BA527" i="14"/>
  <c r="BA519" i="14"/>
  <c r="BA518" i="14"/>
  <c r="BA523" i="14"/>
  <c r="BA528" i="14"/>
  <c r="BA524" i="14"/>
  <c r="BA529" i="14"/>
  <c r="BA521" i="14"/>
  <c r="BA526" i="14"/>
  <c r="BA520" i="14"/>
  <c r="BA525" i="14"/>
  <c r="BA522" i="14"/>
  <c r="BA469" i="14"/>
  <c r="BA71" i="14"/>
  <c r="BA70" i="14"/>
  <c r="BA72" i="14"/>
  <c r="BA77" i="14"/>
  <c r="BA75" i="14"/>
  <c r="BA76" i="14"/>
  <c r="BA266" i="15"/>
  <c r="BA280" i="15"/>
  <c r="BA246" i="15"/>
  <c r="BA245" i="15"/>
  <c r="BA244" i="15"/>
  <c r="BA42" i="15"/>
  <c r="BA243" i="15"/>
  <c r="BA565" i="14"/>
  <c r="BA567" i="14"/>
  <c r="BA566" i="14"/>
  <c r="BA583" i="14"/>
  <c r="BA564" i="14"/>
  <c r="Z23" i="22"/>
  <c r="AA21" i="22" s="1"/>
  <c r="BA63" i="11"/>
  <c r="BA65" i="11"/>
  <c r="BA61" i="11"/>
  <c r="BA62" i="11"/>
  <c r="BA47" i="11"/>
  <c r="BA60" i="11"/>
  <c r="BA44" i="11"/>
  <c r="BA46" i="11"/>
  <c r="BA65" i="15"/>
  <c r="BA164" i="15"/>
  <c r="BA54" i="14"/>
  <c r="BA582" i="14"/>
  <c r="BA556" i="14"/>
  <c r="BA56" i="13"/>
  <c r="BA57" i="13"/>
  <c r="BA136" i="15"/>
  <c r="BA162" i="15"/>
  <c r="BA161" i="15"/>
  <c r="BA587" i="14"/>
  <c r="BA118" i="13"/>
  <c r="BA117" i="13"/>
  <c r="BA116" i="13"/>
  <c r="BA105" i="13"/>
  <c r="BA112" i="13"/>
  <c r="BA114" i="13"/>
  <c r="BA111" i="13"/>
  <c r="BA113" i="13"/>
  <c r="BA110" i="13"/>
  <c r="BA99" i="13"/>
  <c r="BA104" i="13"/>
  <c r="BA95" i="13"/>
  <c r="BA97" i="13"/>
  <c r="BA96" i="13"/>
  <c r="BA91" i="13"/>
  <c r="BA93" i="13"/>
  <c r="BA90" i="13"/>
  <c r="BA92" i="13"/>
  <c r="BA89" i="13"/>
  <c r="BA85" i="13"/>
  <c r="BA87" i="13"/>
  <c r="BA86" i="13"/>
  <c r="BA81" i="13"/>
  <c r="BA83" i="13"/>
  <c r="BA82" i="13"/>
  <c r="BA99" i="15"/>
  <c r="BA95" i="15"/>
  <c r="BA91" i="15"/>
  <c r="BA87" i="15"/>
  <c r="BA98" i="15"/>
  <c r="BA94" i="15"/>
  <c r="BA90" i="15"/>
  <c r="BA86" i="15"/>
  <c r="BA88" i="15"/>
  <c r="BA97" i="15"/>
  <c r="BA93" i="15"/>
  <c r="BA89" i="15"/>
  <c r="BA85" i="15"/>
  <c r="BA92" i="15"/>
  <c r="BA96" i="15"/>
  <c r="BA73" i="15"/>
  <c r="BA83" i="15"/>
  <c r="BA79" i="15"/>
  <c r="BA75" i="15"/>
  <c r="BA71" i="15"/>
  <c r="BA76" i="15"/>
  <c r="BA77" i="15"/>
  <c r="BA72" i="15"/>
  <c r="BA82" i="15"/>
  <c r="BA78" i="15"/>
  <c r="BA74" i="15"/>
  <c r="BA70" i="15"/>
  <c r="BA81" i="15"/>
  <c r="BA80" i="15"/>
  <c r="BA64" i="15"/>
  <c r="BA69" i="15"/>
  <c r="BA276" i="15"/>
  <c r="BA287" i="15"/>
  <c r="BA284" i="15"/>
  <c r="BA277" i="15"/>
  <c r="BA279" i="15"/>
  <c r="BA283" i="15"/>
  <c r="BA272" i="15"/>
  <c r="BA273" i="15"/>
  <c r="BA269" i="15"/>
  <c r="BA270" i="15"/>
  <c r="BA268" i="15"/>
  <c r="BA265" i="15"/>
  <c r="BA202" i="15"/>
  <c r="BA264" i="15"/>
  <c r="BA180" i="15"/>
  <c r="BA213" i="15"/>
  <c r="BA153" i="15"/>
  <c r="BA179" i="15"/>
  <c r="BA578" i="14"/>
  <c r="BA581" i="14"/>
  <c r="BA580" i="14"/>
  <c r="BA498" i="14"/>
  <c r="BA490" i="14"/>
  <c r="BA495" i="14"/>
  <c r="BA487" i="14"/>
  <c r="BA500" i="14"/>
  <c r="BA492" i="14"/>
  <c r="BA497" i="14"/>
  <c r="BA489" i="14"/>
  <c r="BA494" i="14"/>
  <c r="BA493" i="14"/>
  <c r="BA499" i="14"/>
  <c r="BA491" i="14"/>
  <c r="BA496" i="14"/>
  <c r="BA488" i="14"/>
  <c r="BA472" i="14"/>
  <c r="BA483" i="14"/>
  <c r="BA475" i="14"/>
  <c r="BA480" i="14"/>
  <c r="BA485" i="14"/>
  <c r="BA477" i="14"/>
  <c r="BA476" i="14"/>
  <c r="BA482" i="14"/>
  <c r="BA474" i="14"/>
  <c r="BA484" i="14"/>
  <c r="BA479" i="14"/>
  <c r="BA481" i="14"/>
  <c r="BA473" i="14"/>
  <c r="BA478" i="14"/>
  <c r="BA425" i="14"/>
  <c r="BA423" i="14"/>
  <c r="BA421" i="14"/>
  <c r="BA419" i="14"/>
  <c r="BA417" i="14"/>
  <c r="BA415" i="14"/>
  <c r="BA413" i="14"/>
  <c r="BA411" i="14"/>
  <c r="BA409" i="14"/>
  <c r="BA407" i="14"/>
  <c r="BA405" i="14"/>
  <c r="BA403" i="14"/>
  <c r="BA401" i="14"/>
  <c r="BA399" i="14"/>
  <c r="BA397" i="14"/>
  <c r="BA395" i="14"/>
  <c r="BA393" i="14"/>
  <c r="BA391" i="14"/>
  <c r="BA389" i="14"/>
  <c r="BA387" i="14"/>
  <c r="BA385" i="14"/>
  <c r="BA383" i="14"/>
  <c r="BA381" i="14"/>
  <c r="BA379" i="14"/>
  <c r="BA377" i="14"/>
  <c r="BA375" i="14"/>
  <c r="BA373" i="14"/>
  <c r="BA371" i="14"/>
  <c r="BA369" i="14"/>
  <c r="BA367" i="14"/>
  <c r="BA365" i="14"/>
  <c r="BA363" i="14"/>
  <c r="BA361" i="14"/>
  <c r="BA359" i="14"/>
  <c r="BA357" i="14"/>
  <c r="BA355" i="14"/>
  <c r="BA353" i="14"/>
  <c r="BA424" i="14"/>
  <c r="BA422" i="14"/>
  <c r="BA420" i="14"/>
  <c r="BA418" i="14"/>
  <c r="BA416" i="14"/>
  <c r="BA414" i="14"/>
  <c r="BA412" i="14"/>
  <c r="BA410" i="14"/>
  <c r="BA408" i="14"/>
  <c r="BA406" i="14"/>
  <c r="BA404" i="14"/>
  <c r="BA402" i="14"/>
  <c r="BA400" i="14"/>
  <c r="BA398" i="14"/>
  <c r="BA396" i="14"/>
  <c r="BA394" i="14"/>
  <c r="BA392" i="14"/>
  <c r="BA390" i="14"/>
  <c r="BA388" i="14"/>
  <c r="BA386" i="14"/>
  <c r="BA384" i="14"/>
  <c r="BA382" i="14"/>
  <c r="BA380" i="14"/>
  <c r="BA378" i="14"/>
  <c r="BA376" i="14"/>
  <c r="BA374" i="14"/>
  <c r="BA372" i="14"/>
  <c r="BA370" i="14"/>
  <c r="BA368" i="14"/>
  <c r="BA366" i="14"/>
  <c r="BA364" i="14"/>
  <c r="BA362" i="14"/>
  <c r="BA360" i="14"/>
  <c r="BA358" i="14"/>
  <c r="BA356" i="14"/>
  <c r="BA354" i="14"/>
  <c r="BA169" i="14"/>
  <c r="BA153" i="14"/>
  <c r="BA147" i="14"/>
  <c r="BA141" i="14"/>
  <c r="BA133" i="14"/>
  <c r="BA129" i="14"/>
  <c r="BA163" i="14"/>
  <c r="BA137" i="14"/>
  <c r="BA170" i="14"/>
  <c r="BA168" i="14"/>
  <c r="BA166" i="14"/>
  <c r="BA164" i="14"/>
  <c r="BA162" i="14"/>
  <c r="BA160" i="14"/>
  <c r="BA158" i="14"/>
  <c r="BA156" i="14"/>
  <c r="BA154" i="14"/>
  <c r="BA152" i="14"/>
  <c r="BA150" i="14"/>
  <c r="BA148" i="14"/>
  <c r="BA146" i="14"/>
  <c r="BA144" i="14"/>
  <c r="BA142" i="14"/>
  <c r="BA140" i="14"/>
  <c r="BA138" i="14"/>
  <c r="BA136" i="14"/>
  <c r="BA134" i="14"/>
  <c r="BA132" i="14"/>
  <c r="BA130" i="14"/>
  <c r="BA167" i="14"/>
  <c r="BA159" i="14"/>
  <c r="BA157" i="14"/>
  <c r="BA155" i="14"/>
  <c r="BA151" i="14"/>
  <c r="BA149" i="14"/>
  <c r="BA145" i="14"/>
  <c r="BA143" i="14"/>
  <c r="BA139" i="14"/>
  <c r="BA131" i="14"/>
  <c r="BA165" i="14"/>
  <c r="BA135" i="14"/>
  <c r="BA161" i="14"/>
  <c r="BA112" i="14"/>
  <c r="BA110" i="14"/>
  <c r="BA106" i="14"/>
  <c r="BA116" i="14"/>
  <c r="BA123" i="14"/>
  <c r="BA121" i="14"/>
  <c r="BA119" i="14"/>
  <c r="BA117" i="14"/>
  <c r="BA115" i="14"/>
  <c r="BA113" i="14"/>
  <c r="BA111" i="14"/>
  <c r="BA109" i="14"/>
  <c r="BA107" i="14"/>
  <c r="BA114" i="14"/>
  <c r="BA108" i="14"/>
  <c r="BA118" i="14"/>
  <c r="BA122" i="14"/>
  <c r="BA120" i="14"/>
  <c r="BA57" i="14"/>
  <c r="BA58" i="14"/>
  <c r="BA532" i="14"/>
  <c r="BA533" i="14"/>
  <c r="BA52" i="14"/>
  <c r="BA53" i="14"/>
  <c r="AR38" i="22"/>
  <c r="AS35" i="22" s="1"/>
  <c r="AB18" i="22"/>
  <c r="BA37" i="15"/>
  <c r="BA33" i="15"/>
  <c r="BA34" i="15"/>
  <c r="BA35" i="15"/>
  <c r="BA36" i="15"/>
  <c r="BA32" i="15"/>
  <c r="BA50" i="11"/>
  <c r="BA27" i="11"/>
  <c r="BA590" i="14"/>
  <c r="BA7" i="12"/>
  <c r="BA24" i="12"/>
  <c r="BA15" i="12"/>
  <c r="BA23" i="12"/>
  <c r="BA14" i="12"/>
  <c r="BA22" i="12"/>
  <c r="BA12" i="12"/>
  <c r="BA20" i="12"/>
  <c r="BA11" i="12"/>
  <c r="BA8" i="12"/>
  <c r="BA19" i="12"/>
  <c r="BA10" i="12"/>
  <c r="BA18" i="12"/>
  <c r="BA13" i="12"/>
  <c r="BA17" i="12"/>
  <c r="BA9" i="12"/>
  <c r="BA16" i="12"/>
  <c r="BA30" i="11"/>
  <c r="BA105" i="11"/>
  <c r="BA99" i="11"/>
  <c r="BA69" i="11"/>
  <c r="BA40" i="11"/>
  <c r="BA32" i="11"/>
  <c r="BA104" i="11"/>
  <c r="BA98" i="11"/>
  <c r="BA89" i="11"/>
  <c r="BA82" i="11"/>
  <c r="BA52" i="11"/>
  <c r="BA39" i="11"/>
  <c r="BA31" i="11"/>
  <c r="BA81" i="11"/>
  <c r="BA75" i="11"/>
  <c r="BA51" i="11"/>
  <c r="BA80" i="11"/>
  <c r="BA74" i="11"/>
  <c r="BA101" i="11"/>
  <c r="BA95" i="11"/>
  <c r="BA57" i="11"/>
  <c r="BA36" i="11"/>
  <c r="BA100" i="11"/>
  <c r="BA94" i="11"/>
  <c r="BA85" i="11"/>
  <c r="BA56" i="11"/>
  <c r="BA43" i="11"/>
  <c r="BA35" i="11"/>
  <c r="BA70" i="11"/>
  <c r="BA33" i="11"/>
  <c r="BA93" i="11"/>
  <c r="BA84" i="11"/>
  <c r="BA77" i="11"/>
  <c r="BA71" i="11"/>
  <c r="BA34" i="11"/>
  <c r="BA76" i="11"/>
  <c r="BA54" i="11"/>
  <c r="BA41" i="11"/>
  <c r="BA43" i="13"/>
  <c r="BA71" i="13"/>
  <c r="BA62" i="13"/>
  <c r="BA53" i="13"/>
  <c r="BA45" i="13"/>
  <c r="BA55" i="13"/>
  <c r="BA61" i="13"/>
  <c r="BA52" i="13"/>
  <c r="BA64" i="13"/>
  <c r="BA76" i="13"/>
  <c r="BA70" i="13"/>
  <c r="BA60" i="13"/>
  <c r="BA51" i="13"/>
  <c r="BA108" i="13"/>
  <c r="BA102" i="13"/>
  <c r="BA59" i="13"/>
  <c r="BA50" i="13"/>
  <c r="BA121" i="13"/>
  <c r="BA123" i="13"/>
  <c r="BA75" i="13"/>
  <c r="BA66" i="13"/>
  <c r="BA58" i="13"/>
  <c r="BA49" i="13"/>
  <c r="BA44" i="13"/>
  <c r="BA122" i="13"/>
  <c r="BA74" i="13"/>
  <c r="BA65" i="13"/>
  <c r="BA48" i="13"/>
  <c r="BA63" i="13"/>
  <c r="BA54" i="13"/>
  <c r="BA46" i="13"/>
  <c r="BA47" i="13"/>
  <c r="BA36" i="9"/>
  <c r="BA101" i="9"/>
  <c r="BA93" i="9"/>
  <c r="BA85" i="9"/>
  <c r="BA77" i="9"/>
  <c r="BA69" i="9"/>
  <c r="BA61" i="9"/>
  <c r="BA53" i="9"/>
  <c r="BA45" i="9"/>
  <c r="BA37" i="9"/>
  <c r="BA71" i="9"/>
  <c r="BA100" i="9"/>
  <c r="BA92" i="9"/>
  <c r="BA84" i="9"/>
  <c r="BA76" i="9"/>
  <c r="BA68" i="9"/>
  <c r="BA60" i="9"/>
  <c r="BA52" i="9"/>
  <c r="BA44" i="9"/>
  <c r="BA99" i="9"/>
  <c r="BA91" i="9"/>
  <c r="BA83" i="9"/>
  <c r="BA75" i="9"/>
  <c r="BA67" i="9"/>
  <c r="BA59" i="9"/>
  <c r="BA51" i="9"/>
  <c r="BA43" i="9"/>
  <c r="BA98" i="9"/>
  <c r="BA90" i="9"/>
  <c r="BA66" i="9"/>
  <c r="BA58" i="9"/>
  <c r="BA50" i="9"/>
  <c r="BA42" i="9"/>
  <c r="BA72" i="9"/>
  <c r="BA56" i="9"/>
  <c r="BA40" i="9"/>
  <c r="BA55" i="9"/>
  <c r="BA97" i="9"/>
  <c r="BA73" i="9"/>
  <c r="BA49" i="9"/>
  <c r="BA41" i="9"/>
  <c r="BA80" i="9"/>
  <c r="BA87" i="9"/>
  <c r="BA63" i="9"/>
  <c r="BA94" i="9"/>
  <c r="BA86" i="9"/>
  <c r="BA78" i="9"/>
  <c r="BA70" i="9"/>
  <c r="BA62" i="9"/>
  <c r="BA54" i="9"/>
  <c r="BA79" i="9"/>
  <c r="BA62" i="4"/>
  <c r="BA54" i="4"/>
  <c r="BA61" i="4"/>
  <c r="BA53" i="4"/>
  <c r="BA45" i="4"/>
  <c r="BA44" i="4"/>
  <c r="BA58" i="4"/>
  <c r="BA57" i="4"/>
  <c r="BA49" i="4"/>
  <c r="BA48" i="4"/>
  <c r="BA40" i="4"/>
  <c r="BA41" i="4"/>
  <c r="BA48" i="2"/>
  <c r="BA96" i="2"/>
  <c r="BA64" i="2"/>
  <c r="BA56" i="2"/>
  <c r="BA95" i="2"/>
  <c r="BA87" i="2"/>
  <c r="BA79" i="2"/>
  <c r="BA50" i="2"/>
  <c r="BA94" i="2"/>
  <c r="BA86" i="2"/>
  <c r="BA78" i="2"/>
  <c r="BA70" i="2"/>
  <c r="BA58" i="2"/>
  <c r="BA93" i="2"/>
  <c r="BA85" i="2"/>
  <c r="BA77" i="2"/>
  <c r="BA69" i="2"/>
  <c r="BA61" i="2"/>
  <c r="BA53" i="2"/>
  <c r="BA66" i="2"/>
  <c r="BA92" i="2"/>
  <c r="BA84" i="2"/>
  <c r="BA76" i="2"/>
  <c r="BA68" i="2"/>
  <c r="BA60" i="2"/>
  <c r="BA52" i="2"/>
  <c r="BA82" i="2"/>
  <c r="BA91" i="2"/>
  <c r="BA83" i="2"/>
  <c r="BA75" i="2"/>
  <c r="BA67" i="2"/>
  <c r="BA59" i="2"/>
  <c r="BA51" i="2"/>
  <c r="BA90" i="2"/>
  <c r="BA65" i="2"/>
  <c r="BA57" i="2"/>
  <c r="BA49" i="2"/>
  <c r="BA74" i="2"/>
  <c r="BA63" i="15"/>
  <c r="BA47" i="15"/>
  <c r="BA240" i="15"/>
  <c r="BA233" i="15"/>
  <c r="BA124" i="15"/>
  <c r="BA126" i="15"/>
  <c r="BA146" i="15"/>
  <c r="BA135" i="15"/>
  <c r="BA207" i="15"/>
  <c r="BA191" i="15"/>
  <c r="BA184" i="15"/>
  <c r="BA151" i="15"/>
  <c r="BA102" i="15"/>
  <c r="BA21" i="15"/>
  <c r="BA15" i="15"/>
  <c r="BA62" i="15"/>
  <c r="BA52" i="15"/>
  <c r="BA232" i="15"/>
  <c r="BA217" i="15"/>
  <c r="BA145" i="15"/>
  <c r="BA129" i="15"/>
  <c r="BA206" i="15"/>
  <c r="BA198" i="15"/>
  <c r="BA183" i="15"/>
  <c r="BA167" i="15"/>
  <c r="BA159" i="15"/>
  <c r="BA116" i="15"/>
  <c r="BA110" i="15"/>
  <c r="BA103" i="15"/>
  <c r="BA20" i="15"/>
  <c r="BA14" i="15"/>
  <c r="BA61" i="15"/>
  <c r="BA58" i="15"/>
  <c r="BA239" i="15"/>
  <c r="BA231" i="15"/>
  <c r="BA224" i="15"/>
  <c r="BA133" i="15"/>
  <c r="BA131" i="15"/>
  <c r="BA144" i="15"/>
  <c r="BA123" i="15"/>
  <c r="BA197" i="15"/>
  <c r="BA171" i="15"/>
  <c r="BA166" i="15"/>
  <c r="BA118" i="15"/>
  <c r="BA109" i="15"/>
  <c r="BA13" i="15"/>
  <c r="BA223" i="15"/>
  <c r="BA127" i="15"/>
  <c r="BA125" i="15"/>
  <c r="BA143" i="15"/>
  <c r="BA196" i="15"/>
  <c r="BA170" i="15"/>
  <c r="BA115" i="15"/>
  <c r="BA108" i="15"/>
  <c r="BA12" i="15"/>
  <c r="BA28" i="15"/>
  <c r="BA56" i="15"/>
  <c r="BA49" i="15"/>
  <c r="BA237" i="15"/>
  <c r="BA228" i="15"/>
  <c r="BA222" i="15"/>
  <c r="BA163" i="15"/>
  <c r="BA120" i="15"/>
  <c r="BA114" i="15"/>
  <c r="BA106" i="15"/>
  <c r="BA25" i="15"/>
  <c r="BA59" i="15"/>
  <c r="BA53" i="15"/>
  <c r="BA130" i="15"/>
  <c r="BA214" i="15"/>
  <c r="BA132" i="15"/>
  <c r="BA147" i="15"/>
  <c r="BA139" i="15"/>
  <c r="BA208" i="15"/>
  <c r="BA185" i="15"/>
  <c r="BA174" i="15"/>
  <c r="BA165" i="15"/>
  <c r="BA152" i="15"/>
  <c r="BA104" i="15"/>
  <c r="BA40" i="15"/>
  <c r="BA22" i="15"/>
  <c r="BA16" i="15"/>
  <c r="BA55" i="15"/>
  <c r="BA141" i="15"/>
  <c r="BA201" i="15"/>
  <c r="BA176" i="15"/>
  <c r="BA24" i="15"/>
  <c r="BA7" i="15"/>
  <c r="BA140" i="15"/>
  <c r="BA160" i="15"/>
  <c r="BA54" i="15"/>
  <c r="BA137" i="15"/>
  <c r="BA175" i="15"/>
  <c r="BA119" i="15"/>
  <c r="BA23" i="15"/>
  <c r="BA190" i="15"/>
  <c r="BA210" i="15"/>
  <c r="BA227" i="15"/>
  <c r="BA113" i="15"/>
  <c r="BA105" i="15"/>
  <c r="BA43" i="15"/>
  <c r="BA48" i="15"/>
  <c r="BA148" i="15"/>
  <c r="BA17" i="15"/>
  <c r="BA221" i="15"/>
  <c r="BA225" i="15"/>
  <c r="BA187" i="15"/>
  <c r="BA107" i="15"/>
  <c r="BA216" i="15"/>
  <c r="BA215" i="15"/>
  <c r="BA209" i="15"/>
  <c r="BA154" i="15"/>
  <c r="BA41" i="15"/>
  <c r="BA8" i="15"/>
  <c r="BA9" i="14"/>
  <c r="BA555" i="14"/>
  <c r="BA504" i="14"/>
  <c r="BA463" i="14"/>
  <c r="BA456" i="14"/>
  <c r="BA442" i="14"/>
  <c r="BA434" i="14"/>
  <c r="BA430" i="14"/>
  <c r="BA350" i="14"/>
  <c r="BA342" i="14"/>
  <c r="BA334" i="14"/>
  <c r="BA326" i="14"/>
  <c r="BA318" i="14"/>
  <c r="BA310" i="14"/>
  <c r="BA302" i="14"/>
  <c r="BA294" i="14"/>
  <c r="BA286" i="14"/>
  <c r="BA278" i="14"/>
  <c r="BA270" i="14"/>
  <c r="BA262" i="14"/>
  <c r="BA254" i="14"/>
  <c r="BA246" i="14"/>
  <c r="BA238" i="14"/>
  <c r="BA230" i="14"/>
  <c r="BA222" i="14"/>
  <c r="BA214" i="14"/>
  <c r="BA206" i="14"/>
  <c r="BA198" i="14"/>
  <c r="BA190" i="14"/>
  <c r="BA182" i="14"/>
  <c r="BA174" i="14"/>
  <c r="BA103" i="14"/>
  <c r="BA97" i="14"/>
  <c r="BA89" i="14"/>
  <c r="BA81" i="14"/>
  <c r="BA69" i="14"/>
  <c r="BA32" i="14"/>
  <c r="BA22" i="14"/>
  <c r="BA14" i="14"/>
  <c r="BA458" i="14"/>
  <c r="BA320" i="14"/>
  <c r="BA280" i="14"/>
  <c r="BA240" i="14"/>
  <c r="BA591" i="14"/>
  <c r="BA559" i="14"/>
  <c r="BA513" i="14"/>
  <c r="BA467" i="14"/>
  <c r="BA449" i="14"/>
  <c r="BA572" i="14"/>
  <c r="BA429" i="14"/>
  <c r="BA349" i="14"/>
  <c r="BA341" i="14"/>
  <c r="BA333" i="14"/>
  <c r="BA325" i="14"/>
  <c r="BA317" i="14"/>
  <c r="BA309" i="14"/>
  <c r="BA301" i="14"/>
  <c r="BA293" i="14"/>
  <c r="BA285" i="14"/>
  <c r="BA277" i="14"/>
  <c r="BA269" i="14"/>
  <c r="BA261" i="14"/>
  <c r="BA253" i="14"/>
  <c r="BA245" i="14"/>
  <c r="BA237" i="14"/>
  <c r="BA229" i="14"/>
  <c r="BA221" i="14"/>
  <c r="BA213" i="14"/>
  <c r="BA205" i="14"/>
  <c r="BA197" i="14"/>
  <c r="BA189" i="14"/>
  <c r="BA181" i="14"/>
  <c r="BA173" i="14"/>
  <c r="BA102" i="14"/>
  <c r="BA96" i="14"/>
  <c r="BA88" i="14"/>
  <c r="BA74" i="14"/>
  <c r="BA62" i="14"/>
  <c r="BA44" i="14"/>
  <c r="BA33" i="14"/>
  <c r="BA21" i="14"/>
  <c r="BA13" i="14"/>
  <c r="BA574" i="14"/>
  <c r="BA344" i="14"/>
  <c r="BA312" i="14"/>
  <c r="BA256" i="14"/>
  <c r="BA216" i="14"/>
  <c r="BA543" i="14"/>
  <c r="BA549" i="14"/>
  <c r="BA512" i="14"/>
  <c r="BA509" i="14"/>
  <c r="BA466" i="14"/>
  <c r="BA462" i="14"/>
  <c r="BA454" i="14"/>
  <c r="BA571" i="14"/>
  <c r="BA428" i="14"/>
  <c r="BA348" i="14"/>
  <c r="BA340" i="14"/>
  <c r="BA332" i="14"/>
  <c r="BA324" i="14"/>
  <c r="BA316" i="14"/>
  <c r="BA308" i="14"/>
  <c r="BA300" i="14"/>
  <c r="BA292" i="14"/>
  <c r="BA284" i="14"/>
  <c r="BA276" i="14"/>
  <c r="BA268" i="14"/>
  <c r="BA260" i="14"/>
  <c r="BA252" i="14"/>
  <c r="BA244" i="14"/>
  <c r="BA236" i="14"/>
  <c r="BA228" i="14"/>
  <c r="BA220" i="14"/>
  <c r="BA212" i="14"/>
  <c r="BA204" i="14"/>
  <c r="BA196" i="14"/>
  <c r="BA188" i="14"/>
  <c r="BA180" i="14"/>
  <c r="BA101" i="14"/>
  <c r="BA95" i="14"/>
  <c r="BA87" i="14"/>
  <c r="BA73" i="14"/>
  <c r="BA61" i="14"/>
  <c r="BA31" i="14"/>
  <c r="BA20" i="14"/>
  <c r="BA12" i="14"/>
  <c r="BA296" i="14"/>
  <c r="BA264" i="14"/>
  <c r="BA232" i="14"/>
  <c r="BA589" i="14"/>
  <c r="BA542" i="14"/>
  <c r="BA538" i="14"/>
  <c r="BA508" i="14"/>
  <c r="BA465" i="14"/>
  <c r="BA461" i="14"/>
  <c r="BA570" i="14"/>
  <c r="BA439" i="14"/>
  <c r="BA427" i="14"/>
  <c r="BA347" i="14"/>
  <c r="BA339" i="14"/>
  <c r="BA331" i="14"/>
  <c r="BA323" i="14"/>
  <c r="BA315" i="14"/>
  <c r="BA307" i="14"/>
  <c r="BA299" i="14"/>
  <c r="BA291" i="14"/>
  <c r="BA283" i="14"/>
  <c r="BA275" i="14"/>
  <c r="BA267" i="14"/>
  <c r="BA259" i="14"/>
  <c r="BA251" i="14"/>
  <c r="BA243" i="14"/>
  <c r="BA235" i="14"/>
  <c r="BA227" i="14"/>
  <c r="BA219" i="14"/>
  <c r="BA211" i="14"/>
  <c r="BA203" i="14"/>
  <c r="BA195" i="14"/>
  <c r="BA187" i="14"/>
  <c r="BA179" i="14"/>
  <c r="BA100" i="14"/>
  <c r="BA94" i="14"/>
  <c r="BA86" i="14"/>
  <c r="BA68" i="14"/>
  <c r="BA46" i="14"/>
  <c r="BA38" i="14"/>
  <c r="BA30" i="14"/>
  <c r="BA19" i="14"/>
  <c r="BA11" i="14"/>
  <c r="BA352" i="14"/>
  <c r="BA328" i="14"/>
  <c r="BA288" i="14"/>
  <c r="BA248" i="14"/>
  <c r="BA594" i="14"/>
  <c r="BA588" i="14"/>
  <c r="BA445" i="14"/>
  <c r="BA438" i="14"/>
  <c r="BA426" i="14"/>
  <c r="BA346" i="14"/>
  <c r="BA338" i="14"/>
  <c r="BA330" i="14"/>
  <c r="BA322" i="14"/>
  <c r="BA314" i="14"/>
  <c r="BA306" i="14"/>
  <c r="BA298" i="14"/>
  <c r="BA290" i="14"/>
  <c r="BA282" i="14"/>
  <c r="BA274" i="14"/>
  <c r="BA266" i="14"/>
  <c r="BA258" i="14"/>
  <c r="BA250" i="14"/>
  <c r="BA242" i="14"/>
  <c r="BA234" i="14"/>
  <c r="BA226" i="14"/>
  <c r="BA218" i="14"/>
  <c r="BA210" i="14"/>
  <c r="BA202" i="14"/>
  <c r="BA194" i="14"/>
  <c r="BA186" i="14"/>
  <c r="BA178" i="14"/>
  <c r="BA128" i="14"/>
  <c r="BA99" i="14"/>
  <c r="BA93" i="14"/>
  <c r="BA85" i="14"/>
  <c r="BA67" i="14"/>
  <c r="BA45" i="14"/>
  <c r="BA28" i="14"/>
  <c r="BA18" i="14"/>
  <c r="BA10" i="14"/>
  <c r="BA586" i="14"/>
  <c r="BA541" i="14"/>
  <c r="BA548" i="14"/>
  <c r="BA25" i="14"/>
  <c r="BA459" i="14"/>
  <c r="BA451" i="14"/>
  <c r="BA575" i="14"/>
  <c r="BA552" i="14"/>
  <c r="BA437" i="14"/>
  <c r="BA345" i="14"/>
  <c r="BA337" i="14"/>
  <c r="BA329" i="14"/>
  <c r="BA321" i="14"/>
  <c r="BA313" i="14"/>
  <c r="BA305" i="14"/>
  <c r="BA297" i="14"/>
  <c r="BA289" i="14"/>
  <c r="BA281" i="14"/>
  <c r="BA273" i="14"/>
  <c r="BA265" i="14"/>
  <c r="BA257" i="14"/>
  <c r="BA249" i="14"/>
  <c r="BA241" i="14"/>
  <c r="BA233" i="14"/>
  <c r="BA225" i="14"/>
  <c r="BA217" i="14"/>
  <c r="BA209" i="14"/>
  <c r="BA201" i="14"/>
  <c r="BA193" i="14"/>
  <c r="BA185" i="14"/>
  <c r="BA177" i="14"/>
  <c r="BA98" i="14"/>
  <c r="BA92" i="14"/>
  <c r="BA84" i="14"/>
  <c r="BA66" i="14"/>
  <c r="BA43" i="14"/>
  <c r="BA29" i="14"/>
  <c r="BA17" i="14"/>
  <c r="BA540" i="14"/>
  <c r="BA547" i="14"/>
  <c r="BA436" i="14"/>
  <c r="BA336" i="14"/>
  <c r="BA304" i="14"/>
  <c r="BA272" i="14"/>
  <c r="BA599" i="14"/>
  <c r="BA539" i="14"/>
  <c r="BA546" i="14"/>
  <c r="BA514" i="14"/>
  <c r="BA517" i="14"/>
  <c r="BA457" i="14"/>
  <c r="BA450" i="14"/>
  <c r="BA573" i="14"/>
  <c r="BA435" i="14"/>
  <c r="BA351" i="14"/>
  <c r="BA343" i="14"/>
  <c r="BA335" i="14"/>
  <c r="BA327" i="14"/>
  <c r="BA319" i="14"/>
  <c r="BA311" i="14"/>
  <c r="BA303" i="14"/>
  <c r="BA295" i="14"/>
  <c r="BA287" i="14"/>
  <c r="BA279" i="14"/>
  <c r="BA271" i="14"/>
  <c r="BA263" i="14"/>
  <c r="BA255" i="14"/>
  <c r="BA247" i="14"/>
  <c r="BA239" i="14"/>
  <c r="BA231" i="14"/>
  <c r="BA223" i="14"/>
  <c r="BA215" i="14"/>
  <c r="BA207" i="14"/>
  <c r="BA199" i="14"/>
  <c r="BA191" i="14"/>
  <c r="BA183" i="14"/>
  <c r="BA175" i="14"/>
  <c r="BA104" i="14"/>
  <c r="BA90" i="14"/>
  <c r="BA82" i="14"/>
  <c r="BA41" i="14"/>
  <c r="BA34" i="14"/>
  <c r="BA224" i="14"/>
  <c r="BA208" i="14"/>
  <c r="BA65" i="14"/>
  <c r="BA200" i="14"/>
  <c r="BA192" i="14"/>
  <c r="BA105" i="14"/>
  <c r="BA176" i="14"/>
  <c r="BA42" i="14"/>
  <c r="BA83" i="14"/>
  <c r="BA35" i="14"/>
  <c r="BA184" i="14"/>
  <c r="BA91" i="14"/>
  <c r="AY133" i="15"/>
  <c r="AY27" i="9" s="1"/>
  <c r="AX133" i="15"/>
  <c r="AX27" i="9" s="1"/>
  <c r="AW133" i="15"/>
  <c r="AW27" i="9" s="1"/>
  <c r="AV133" i="15"/>
  <c r="AV27" i="9" s="1"/>
  <c r="AU133" i="15"/>
  <c r="AU27" i="9" s="1"/>
  <c r="AY127" i="15"/>
  <c r="AX127" i="15"/>
  <c r="AW127" i="15"/>
  <c r="AV127" i="15"/>
  <c r="AU127" i="15"/>
  <c r="AU22" i="9" s="1"/>
  <c r="AY131" i="15"/>
  <c r="AX131" i="15"/>
  <c r="AW131" i="15"/>
  <c r="AV131" i="15"/>
  <c r="AU131" i="15"/>
  <c r="AY125" i="15"/>
  <c r="AX125" i="15"/>
  <c r="AW125" i="15"/>
  <c r="AV125" i="15"/>
  <c r="AU125" i="15"/>
  <c r="D27" i="9" a="1"/>
  <c r="D22" i="9" a="1"/>
  <c r="Z26" i="22" l="1"/>
  <c r="Z44" i="40" s="1" a="1"/>
  <c r="Z44" i="40" s="1"/>
  <c r="AR41" i="22"/>
  <c r="AC16" i="22"/>
  <c r="D27" i="9"/>
  <c r="D22" i="9"/>
  <c r="I247" i="27"/>
  <c r="I248" i="27"/>
  <c r="I22" i="11"/>
  <c r="AA22" i="22" l="1"/>
  <c r="AA23" i="22" s="1"/>
  <c r="AB21" i="22" s="1"/>
  <c r="Z63" i="40"/>
  <c r="AS32" i="22"/>
  <c r="AC18" i="22"/>
  <c r="AV28" i="2"/>
  <c r="AU28" i="2"/>
  <c r="D12" i="27" a="1"/>
  <c r="D28" i="2" a="1"/>
  <c r="AA26" i="22" l="1"/>
  <c r="AA63" i="40" s="1"/>
  <c r="AT30" i="22"/>
  <c r="AS37" i="22"/>
  <c r="AD16" i="22"/>
  <c r="D28" i="2"/>
  <c r="D12" i="27"/>
  <c r="AW26" i="27"/>
  <c r="AW133" i="27" s="1"/>
  <c r="AY26" i="27"/>
  <c r="AY133" i="27" s="1"/>
  <c r="AV26" i="27"/>
  <c r="AV133" i="27" s="1"/>
  <c r="AV29" i="2"/>
  <c r="AU29" i="2"/>
  <c r="AX26" i="27"/>
  <c r="AX133" i="27" s="1"/>
  <c r="AU41" i="15"/>
  <c r="AU37" i="4" s="1"/>
  <c r="AU40" i="15"/>
  <c r="D13" i="27" a="1"/>
  <c r="D29" i="2" a="1"/>
  <c r="D37" i="4" a="1"/>
  <c r="AB22" i="22" l="1"/>
  <c r="AB23" i="22" s="1"/>
  <c r="AC21" i="22" s="1"/>
  <c r="AA44" i="40" a="1"/>
  <c r="AA44" i="40" s="1"/>
  <c r="AU36" i="4"/>
  <c r="AS38" i="22"/>
  <c r="AT35" i="22" s="1"/>
  <c r="AD18" i="22"/>
  <c r="D29" i="2"/>
  <c r="D37" i="4"/>
  <c r="D13" i="27"/>
  <c r="AU25" i="27"/>
  <c r="AU132" i="27" s="1"/>
  <c r="AW25" i="27"/>
  <c r="AW27" i="27" s="1"/>
  <c r="AW89" i="40" s="1"/>
  <c r="AW96" i="40" s="1"/>
  <c r="AY25" i="27"/>
  <c r="AY27" i="27" s="1"/>
  <c r="AY89" i="40" s="1"/>
  <c r="AY96" i="40" s="1"/>
  <c r="AU26" i="27"/>
  <c r="AU133" i="27" s="1"/>
  <c r="AX25" i="27"/>
  <c r="AV25" i="27"/>
  <c r="BB43" i="15"/>
  <c r="BB41" i="15"/>
  <c r="BB40" i="15"/>
  <c r="G9" i="11"/>
  <c r="G8" i="11"/>
  <c r="G15" i="13"/>
  <c r="G13" i="13"/>
  <c r="G11" i="13"/>
  <c r="G10" i="13"/>
  <c r="G8" i="13"/>
  <c r="G24" i="12"/>
  <c r="G23" i="12"/>
  <c r="G22" i="12"/>
  <c r="G19" i="34" s="1"/>
  <c r="G20" i="12"/>
  <c r="G19" i="12"/>
  <c r="G18" i="12"/>
  <c r="G17" i="12"/>
  <c r="G16" i="12"/>
  <c r="G15" i="12"/>
  <c r="G14" i="12"/>
  <c r="G12" i="12"/>
  <c r="G11" i="12"/>
  <c r="G9" i="34" s="1"/>
  <c r="G13" i="12"/>
  <c r="G9" i="12"/>
  <c r="G8" i="12"/>
  <c r="G10" i="12"/>
  <c r="G7" i="12"/>
  <c r="G41" i="11"/>
  <c r="G40" i="11"/>
  <c r="G45" i="9"/>
  <c r="G44" i="9"/>
  <c r="G43" i="9"/>
  <c r="G42" i="9"/>
  <c r="G41" i="9"/>
  <c r="G40" i="9"/>
  <c r="G37" i="9"/>
  <c r="G36" i="9"/>
  <c r="G9" i="9"/>
  <c r="G8" i="9"/>
  <c r="G7" i="9"/>
  <c r="G93" i="2"/>
  <c r="G95" i="2"/>
  <c r="G94" i="2"/>
  <c r="G91" i="2"/>
  <c r="G90" i="2"/>
  <c r="G85" i="2"/>
  <c r="G87" i="2"/>
  <c r="G84" i="2"/>
  <c r="G83" i="2"/>
  <c r="G82" i="2"/>
  <c r="G77" i="2"/>
  <c r="G79" i="2"/>
  <c r="G78" i="2"/>
  <c r="G75" i="2"/>
  <c r="G74" i="2"/>
  <c r="G67" i="2"/>
  <c r="G69" i="2"/>
  <c r="G68" i="2"/>
  <c r="G65" i="2"/>
  <c r="G64" i="2"/>
  <c r="G24" i="2"/>
  <c r="G26" i="2"/>
  <c r="G25" i="2"/>
  <c r="G23" i="2"/>
  <c r="G21" i="2"/>
  <c r="G17" i="2"/>
  <c r="G19" i="2"/>
  <c r="G18" i="2"/>
  <c r="G15" i="2"/>
  <c r="G14" i="2"/>
  <c r="G42" i="2"/>
  <c r="G44" i="2"/>
  <c r="G41" i="2"/>
  <c r="G40" i="2"/>
  <c r="G39" i="2"/>
  <c r="G34" i="2"/>
  <c r="G36" i="2"/>
  <c r="G35" i="2"/>
  <c r="G31" i="2"/>
  <c r="G10" i="2"/>
  <c r="G12" i="2"/>
  <c r="G11" i="2"/>
  <c r="G8" i="2"/>
  <c r="G7" i="2"/>
  <c r="AT140" i="15"/>
  <c r="D36" i="4" a="1"/>
  <c r="AB26" i="22" l="1"/>
  <c r="AB44" i="40" s="1" a="1"/>
  <c r="AB44" i="40" s="1"/>
  <c r="D36" i="4"/>
  <c r="AT32" i="9"/>
  <c r="AS41" i="22"/>
  <c r="AE16" i="22"/>
  <c r="AY12" i="13"/>
  <c r="AW12" i="13"/>
  <c r="AW132" i="27"/>
  <c r="AW162" i="27" s="1"/>
  <c r="AY132" i="27"/>
  <c r="AY162" i="27" s="1"/>
  <c r="AU27" i="27"/>
  <c r="AU89" i="40" s="1"/>
  <c r="AU96" i="40" s="1"/>
  <c r="AU162" i="27"/>
  <c r="AX132" i="27"/>
  <c r="AX162" i="27" s="1"/>
  <c r="AX27" i="27"/>
  <c r="AY31" i="27"/>
  <c r="AY37" i="27" s="1"/>
  <c r="AY14" i="38" s="1"/>
  <c r="AY29" i="38" s="1"/>
  <c r="AV132" i="27"/>
  <c r="AV162" i="27" s="1"/>
  <c r="AV27" i="27"/>
  <c r="AW31" i="27"/>
  <c r="AW37" i="27" s="1"/>
  <c r="AW14" i="38" s="1"/>
  <c r="AW29" i="38" s="1"/>
  <c r="AC22" i="22" l="1"/>
  <c r="AC23" i="22" s="1"/>
  <c r="AC26" i="22" s="1"/>
  <c r="AD22" i="22" s="1"/>
  <c r="AB63" i="40"/>
  <c r="AV12" i="13"/>
  <c r="AV89" i="40"/>
  <c r="AV96" i="40" s="1"/>
  <c r="AX12" i="13"/>
  <c r="AX89" i="40"/>
  <c r="AX96" i="40" s="1"/>
  <c r="AT32" i="22"/>
  <c r="AE18" i="22"/>
  <c r="AY38" i="27"/>
  <c r="AY39" i="27" s="1"/>
  <c r="AW38" i="27"/>
  <c r="AW39" i="27" s="1"/>
  <c r="AX170" i="27"/>
  <c r="AV170" i="27"/>
  <c r="AY170" i="27"/>
  <c r="AW169" i="27"/>
  <c r="AW170" i="27"/>
  <c r="AU167" i="27"/>
  <c r="AU170" i="27"/>
  <c r="AW166" i="27"/>
  <c r="AW168" i="27"/>
  <c r="AW167" i="27"/>
  <c r="AU12" i="13"/>
  <c r="AU31" i="27"/>
  <c r="AU37" i="27" s="1"/>
  <c r="AU14" i="38" s="1"/>
  <c r="AU29" i="38" s="1"/>
  <c r="AY169" i="27"/>
  <c r="AY166" i="27"/>
  <c r="AY167" i="27"/>
  <c r="AY168" i="27"/>
  <c r="AU169" i="27"/>
  <c r="AU166" i="27"/>
  <c r="AU168" i="27"/>
  <c r="AV169" i="27"/>
  <c r="AV167" i="27"/>
  <c r="AV168" i="27"/>
  <c r="AV166" i="27"/>
  <c r="AV31" i="27"/>
  <c r="AV37" i="27" s="1"/>
  <c r="AV14" i="38" s="1"/>
  <c r="AV29" i="38" s="1"/>
  <c r="AX31" i="27"/>
  <c r="AX37" i="27" s="1"/>
  <c r="AX14" i="38" s="1"/>
  <c r="AX29" i="38" s="1"/>
  <c r="AX168" i="27"/>
  <c r="AX166" i="27"/>
  <c r="AX169" i="27"/>
  <c r="AX167" i="27"/>
  <c r="BB559" i="14"/>
  <c r="D14" i="38" a="1"/>
  <c r="D12" i="13" a="1"/>
  <c r="D14" i="38" l="1"/>
  <c r="I29" i="40"/>
  <c r="AD21" i="22"/>
  <c r="AC63" i="40"/>
  <c r="AC44" i="40" a="1"/>
  <c r="AC44" i="40" s="1"/>
  <c r="AD23" i="22"/>
  <c r="AE21" i="22" s="1"/>
  <c r="AU30" i="22"/>
  <c r="AT37" i="22"/>
  <c r="AF16" i="22"/>
  <c r="D12" i="13"/>
  <c r="AW41" i="27"/>
  <c r="AW7" i="29" s="1"/>
  <c r="AW42" i="27"/>
  <c r="AY42" i="27"/>
  <c r="AY41" i="27"/>
  <c r="AY7" i="29" s="1"/>
  <c r="AX38" i="27"/>
  <c r="AX39" i="27" s="1"/>
  <c r="AU38" i="27"/>
  <c r="AU39" i="27" s="1"/>
  <c r="AU42" i="27" s="1"/>
  <c r="AV38" i="27"/>
  <c r="AV39" i="27" s="1"/>
  <c r="AV42" i="27" s="1"/>
  <c r="AD26" i="22" l="1"/>
  <c r="AD63" i="40" s="1"/>
  <c r="AW46" i="27"/>
  <c r="AW95" i="27"/>
  <c r="AW115" i="27" s="1"/>
  <c r="AV46" i="27"/>
  <c r="AV95" i="27"/>
  <c r="AV115" i="27" s="1"/>
  <c r="AU46" i="27"/>
  <c r="AU95" i="27"/>
  <c r="AU115" i="27" s="1"/>
  <c r="AY46" i="27"/>
  <c r="AY95" i="27"/>
  <c r="AY115" i="27" s="1"/>
  <c r="AT38" i="22"/>
  <c r="AU35" i="22" s="1"/>
  <c r="AF18" i="22"/>
  <c r="AV41" i="27"/>
  <c r="AV7" i="29" s="1"/>
  <c r="AX42" i="27"/>
  <c r="AX41" i="27"/>
  <c r="AX7" i="29" s="1"/>
  <c r="AU41" i="27"/>
  <c r="AU7" i="29" s="1"/>
  <c r="AD44" i="40" l="1" a="1"/>
  <c r="AD44" i="40" s="1"/>
  <c r="AE22" i="22"/>
  <c r="AX46" i="27"/>
  <c r="AX95" i="27"/>
  <c r="AX115" i="27" s="1"/>
  <c r="AT41" i="22"/>
  <c r="AG16" i="22"/>
  <c r="E3" i="20"/>
  <c r="E4" i="20"/>
  <c r="E5" i="20"/>
  <c r="E6" i="20"/>
  <c r="E7" i="20"/>
  <c r="E8" i="20"/>
  <c r="E9" i="20"/>
  <c r="E10" i="20"/>
  <c r="E11" i="20"/>
  <c r="E12" i="20"/>
  <c r="E13" i="20"/>
  <c r="E14" i="20"/>
  <c r="E15" i="20"/>
  <c r="E16" i="20"/>
  <c r="E17" i="20"/>
  <c r="E18" i="20"/>
  <c r="E19" i="20"/>
  <c r="E20" i="20"/>
  <c r="E21" i="20"/>
  <c r="E22" i="20"/>
  <c r="E23" i="20"/>
  <c r="E24" i="20"/>
  <c r="E25" i="20"/>
  <c r="E26" i="20"/>
  <c r="E27" i="20"/>
  <c r="E28" i="20"/>
  <c r="E29" i="20"/>
  <c r="E30" i="20"/>
  <c r="E31" i="20"/>
  <c r="E32" i="20"/>
  <c r="E33" i="20"/>
  <c r="E34" i="20"/>
  <c r="E35" i="20"/>
  <c r="E36" i="20"/>
  <c r="E37" i="20"/>
  <c r="E38" i="20"/>
  <c r="E39" i="20"/>
  <c r="E40" i="20"/>
  <c r="E41" i="20"/>
  <c r="E42" i="20"/>
  <c r="E43" i="20"/>
  <c r="E44" i="20"/>
  <c r="E45" i="20"/>
  <c r="E46" i="20"/>
  <c r="E47" i="20"/>
  <c r="E48" i="20"/>
  <c r="E49" i="20"/>
  <c r="E50" i="20"/>
  <c r="E51" i="20"/>
  <c r="E52" i="20"/>
  <c r="E53" i="20"/>
  <c r="E54" i="20"/>
  <c r="E55" i="20"/>
  <c r="E56" i="20"/>
  <c r="E57" i="20"/>
  <c r="E58" i="20"/>
  <c r="E59" i="20"/>
  <c r="E60" i="20"/>
  <c r="E61" i="20"/>
  <c r="E62" i="20"/>
  <c r="E63" i="20"/>
  <c r="E64" i="20"/>
  <c r="E65" i="20"/>
  <c r="E66" i="20"/>
  <c r="E67" i="20"/>
  <c r="E68" i="20"/>
  <c r="E69" i="20"/>
  <c r="E70" i="20"/>
  <c r="E71" i="20"/>
  <c r="E72" i="20"/>
  <c r="E73" i="20"/>
  <c r="E74" i="20"/>
  <c r="E75" i="20"/>
  <c r="E76" i="20"/>
  <c r="E77" i="20"/>
  <c r="E78" i="20"/>
  <c r="E79" i="20"/>
  <c r="E80" i="20"/>
  <c r="E81" i="20"/>
  <c r="E82" i="20"/>
  <c r="E83" i="20"/>
  <c r="E84" i="20"/>
  <c r="E85" i="20"/>
  <c r="E86" i="20"/>
  <c r="E87" i="20"/>
  <c r="E88" i="20"/>
  <c r="E89" i="20"/>
  <c r="E90" i="20"/>
  <c r="E91" i="20"/>
  <c r="E92" i="20"/>
  <c r="E93" i="20"/>
  <c r="E94" i="20"/>
  <c r="E95" i="20"/>
  <c r="E96" i="20"/>
  <c r="E97" i="20"/>
  <c r="E98" i="20"/>
  <c r="E99" i="20"/>
  <c r="E100" i="20"/>
  <c r="E101" i="20"/>
  <c r="E102" i="20"/>
  <c r="E103" i="20"/>
  <c r="E104" i="20"/>
  <c r="E105" i="20"/>
  <c r="E106" i="20"/>
  <c r="E107" i="20"/>
  <c r="E108" i="20"/>
  <c r="E109" i="20"/>
  <c r="E110" i="20"/>
  <c r="E111" i="20"/>
  <c r="E112" i="20"/>
  <c r="E113" i="20"/>
  <c r="E114" i="20"/>
  <c r="E115" i="20"/>
  <c r="E116" i="20"/>
  <c r="E117" i="20"/>
  <c r="E118" i="20"/>
  <c r="E119" i="20"/>
  <c r="E120" i="20"/>
  <c r="E121" i="20"/>
  <c r="E122" i="20"/>
  <c r="E123" i="20"/>
  <c r="E124" i="20"/>
  <c r="E125" i="20"/>
  <c r="E126" i="20"/>
  <c r="E127" i="20"/>
  <c r="E128" i="20"/>
  <c r="E129" i="20"/>
  <c r="E130" i="20"/>
  <c r="E131" i="20"/>
  <c r="E132" i="20"/>
  <c r="E133" i="20"/>
  <c r="E134" i="20"/>
  <c r="E135" i="20"/>
  <c r="E136" i="20"/>
  <c r="E137" i="20"/>
  <c r="E138" i="20"/>
  <c r="E139" i="20"/>
  <c r="E140" i="20"/>
  <c r="E141" i="20"/>
  <c r="E142" i="20"/>
  <c r="E143" i="20"/>
  <c r="E144" i="20"/>
  <c r="E145" i="20"/>
  <c r="E146" i="20"/>
  <c r="E147" i="20"/>
  <c r="E148" i="20"/>
  <c r="E149" i="20"/>
  <c r="E150" i="20"/>
  <c r="E151" i="20"/>
  <c r="E152" i="20"/>
  <c r="E153" i="20"/>
  <c r="E154" i="20"/>
  <c r="E155" i="20"/>
  <c r="E156" i="20"/>
  <c r="E157" i="20"/>
  <c r="E158" i="20"/>
  <c r="E159" i="20"/>
  <c r="E160" i="20"/>
  <c r="E161" i="20"/>
  <c r="E162" i="20"/>
  <c r="E163" i="20"/>
  <c r="E164" i="20"/>
  <c r="E165" i="20"/>
  <c r="E166" i="20"/>
  <c r="E167" i="20"/>
  <c r="E168" i="20"/>
  <c r="E169" i="20"/>
  <c r="E170" i="20"/>
  <c r="E171" i="20"/>
  <c r="E172" i="20"/>
  <c r="E173" i="20"/>
  <c r="E174" i="20"/>
  <c r="E175" i="20"/>
  <c r="E176" i="20"/>
  <c r="E177" i="20"/>
  <c r="E178" i="20"/>
  <c r="E179" i="20"/>
  <c r="E180" i="20"/>
  <c r="E181" i="20"/>
  <c r="E182" i="20"/>
  <c r="E183" i="20"/>
  <c r="E184" i="20"/>
  <c r="E185" i="20"/>
  <c r="E186" i="20"/>
  <c r="E187" i="20"/>
  <c r="E188" i="20"/>
  <c r="E189" i="20"/>
  <c r="E190" i="20"/>
  <c r="E191" i="20"/>
  <c r="E192" i="20"/>
  <c r="E193" i="20"/>
  <c r="E194" i="20"/>
  <c r="E195" i="20"/>
  <c r="E196" i="20"/>
  <c r="E197" i="20"/>
  <c r="E198" i="20"/>
  <c r="E199" i="20"/>
  <c r="E200" i="20"/>
  <c r="E201" i="20"/>
  <c r="E202" i="20"/>
  <c r="E203" i="20"/>
  <c r="E204" i="20"/>
  <c r="E205" i="20"/>
  <c r="E206" i="20"/>
  <c r="E207" i="20"/>
  <c r="E208" i="20"/>
  <c r="E209" i="20"/>
  <c r="E210" i="20"/>
  <c r="E211" i="20"/>
  <c r="E212" i="20"/>
  <c r="E213" i="20"/>
  <c r="E214" i="20"/>
  <c r="E215" i="20"/>
  <c r="E216" i="20"/>
  <c r="E217" i="20"/>
  <c r="E218" i="20"/>
  <c r="E219" i="20"/>
  <c r="E220" i="20"/>
  <c r="E221" i="20"/>
  <c r="E222" i="20"/>
  <c r="E223" i="20"/>
  <c r="E224" i="20"/>
  <c r="E225" i="20"/>
  <c r="E226" i="20"/>
  <c r="E227" i="20"/>
  <c r="E228" i="20"/>
  <c r="E229" i="20"/>
  <c r="E230" i="20"/>
  <c r="E231" i="20"/>
  <c r="E232" i="20"/>
  <c r="E233" i="20"/>
  <c r="E234" i="20"/>
  <c r="E235" i="20"/>
  <c r="E236" i="20"/>
  <c r="E237" i="20"/>
  <c r="E238" i="20"/>
  <c r="E239" i="20"/>
  <c r="E240" i="20"/>
  <c r="E241" i="20"/>
  <c r="E242" i="20"/>
  <c r="E243" i="20"/>
  <c r="E244" i="20"/>
  <c r="E245" i="20"/>
  <c r="E246" i="20"/>
  <c r="E247" i="20"/>
  <c r="E248" i="20"/>
  <c r="E249" i="20"/>
  <c r="E250" i="20"/>
  <c r="E251" i="20"/>
  <c r="E252" i="20"/>
  <c r="E253" i="20"/>
  <c r="E254" i="20"/>
  <c r="E255" i="20"/>
  <c r="E256" i="20"/>
  <c r="E257" i="20"/>
  <c r="E258" i="20"/>
  <c r="E259" i="20"/>
  <c r="E260" i="20"/>
  <c r="E261" i="20"/>
  <c r="E262" i="20"/>
  <c r="E263" i="20"/>
  <c r="E264" i="20"/>
  <c r="E265" i="20"/>
  <c r="E266" i="20"/>
  <c r="E267" i="20"/>
  <c r="E268" i="20"/>
  <c r="E269" i="20"/>
  <c r="E270" i="20"/>
  <c r="E271" i="20"/>
  <c r="E272" i="20"/>
  <c r="E273" i="20"/>
  <c r="E274" i="20"/>
  <c r="E275" i="20"/>
  <c r="E276" i="20"/>
  <c r="E277" i="20"/>
  <c r="E278" i="20"/>
  <c r="E279" i="20"/>
  <c r="E280" i="20"/>
  <c r="E281" i="20"/>
  <c r="E282" i="20"/>
  <c r="E283" i="20"/>
  <c r="E284" i="20"/>
  <c r="E285" i="20"/>
  <c r="E286" i="20"/>
  <c r="E287" i="20"/>
  <c r="E288" i="20"/>
  <c r="E289" i="20"/>
  <c r="E290" i="20"/>
  <c r="E291" i="20"/>
  <c r="E292" i="20"/>
  <c r="E293" i="20"/>
  <c r="E294" i="20"/>
  <c r="E295" i="20"/>
  <c r="E296" i="20"/>
  <c r="E297" i="20"/>
  <c r="E298" i="20"/>
  <c r="E299" i="20"/>
  <c r="E300" i="20"/>
  <c r="E301" i="20"/>
  <c r="E302" i="20"/>
  <c r="E303" i="20"/>
  <c r="E304" i="20"/>
  <c r="E305" i="20"/>
  <c r="E306" i="20"/>
  <c r="E307" i="20"/>
  <c r="E308" i="20"/>
  <c r="E309" i="20"/>
  <c r="E310" i="20"/>
  <c r="E311" i="20"/>
  <c r="E2" i="20"/>
  <c r="AP161" i="15" l="1"/>
  <c r="AR161" i="15"/>
  <c r="AE23" i="22"/>
  <c r="AE26" i="22" s="1"/>
  <c r="AE44" i="40" s="1" a="1"/>
  <c r="AE44" i="40" s="1"/>
  <c r="AO161" i="15"/>
  <c r="AM161" i="15"/>
  <c r="AN161" i="15"/>
  <c r="AC161" i="15"/>
  <c r="AL161" i="15"/>
  <c r="Z161" i="15"/>
  <c r="AJ161" i="15"/>
  <c r="AF161" i="15"/>
  <c r="AB161" i="15"/>
  <c r="AK161" i="15"/>
  <c r="AA161" i="15"/>
  <c r="AG161" i="15"/>
  <c r="AQ161" i="15"/>
  <c r="AE161" i="15"/>
  <c r="X161" i="15"/>
  <c r="V161" i="15"/>
  <c r="AH161" i="15"/>
  <c r="AD161" i="15"/>
  <c r="Y161" i="15"/>
  <c r="W161" i="15"/>
  <c r="AI161" i="15"/>
  <c r="F267" i="20"/>
  <c r="AU32" i="22"/>
  <c r="AG18" i="22"/>
  <c r="E312" i="20"/>
  <c r="AQ162" i="15" l="1"/>
  <c r="AE63" i="40"/>
  <c r="AP162" i="15"/>
  <c r="AF21" i="22"/>
  <c r="AF22" i="22"/>
  <c r="AD162" i="15"/>
  <c r="F268" i="20"/>
  <c r="F269" i="20" s="1"/>
  <c r="AI162" i="15"/>
  <c r="AO162" i="15"/>
  <c r="AN162" i="15"/>
  <c r="AK162" i="15"/>
  <c r="AA162" i="15"/>
  <c r="AG162" i="15"/>
  <c r="Y162" i="15"/>
  <c r="AH162" i="15"/>
  <c r="AB162" i="15"/>
  <c r="AC162" i="15"/>
  <c r="AL162" i="15"/>
  <c r="X162" i="15"/>
  <c r="AM162" i="15"/>
  <c r="AS161" i="15"/>
  <c r="Z162" i="15"/>
  <c r="AJ162" i="15"/>
  <c r="AE162" i="15"/>
  <c r="AF162" i="15"/>
  <c r="W162" i="15"/>
  <c r="AR162" i="15"/>
  <c r="AV30" i="22"/>
  <c r="AU37" i="22"/>
  <c r="AH16" i="22"/>
  <c r="AC167" i="15"/>
  <c r="X167" i="15"/>
  <c r="AB167" i="15"/>
  <c r="Z167" i="15"/>
  <c r="W167" i="15"/>
  <c r="Y167" i="15"/>
  <c r="AA167" i="15"/>
  <c r="AM167" i="15"/>
  <c r="AN167" i="15"/>
  <c r="AH167" i="15"/>
  <c r="AI167" i="15"/>
  <c r="AJ167" i="15"/>
  <c r="AF167" i="15"/>
  <c r="AE167" i="15"/>
  <c r="AK167" i="15"/>
  <c r="AO167" i="15"/>
  <c r="AG167" i="15"/>
  <c r="AL167" i="15"/>
  <c r="AD167" i="15"/>
  <c r="E313" i="20"/>
  <c r="AF23" i="22" l="1"/>
  <c r="AG21" i="22" s="1"/>
  <c r="AS162" i="15"/>
  <c r="F270" i="20"/>
  <c r="F271" i="20" s="1"/>
  <c r="F272" i="20" s="1"/>
  <c r="F273" i="20" s="1"/>
  <c r="F274" i="20" s="1"/>
  <c r="F275" i="20" s="1"/>
  <c r="F276" i="20" s="1"/>
  <c r="F277" i="20" s="1"/>
  <c r="F278" i="20" s="1"/>
  <c r="F279" i="20" s="1"/>
  <c r="F280" i="20" s="1"/>
  <c r="AP164" i="15"/>
  <c r="AP166" i="15" s="1"/>
  <c r="AP167" i="15" s="1"/>
  <c r="AP165" i="15"/>
  <c r="AU38" i="22"/>
  <c r="AU41" i="22" s="1"/>
  <c r="AU11" i="8"/>
  <c r="AH18" i="22"/>
  <c r="E314" i="20"/>
  <c r="D11" i="8" a="1"/>
  <c r="AF26" i="22" l="1"/>
  <c r="AQ164" i="15"/>
  <c r="F281" i="20"/>
  <c r="F282" i="20" s="1"/>
  <c r="F283" i="20" s="1"/>
  <c r="F284" i="20" s="1"/>
  <c r="F285" i="20" s="1"/>
  <c r="F286" i="20" s="1"/>
  <c r="F287" i="20" s="1"/>
  <c r="F288" i="20" s="1"/>
  <c r="F289" i="20" s="1"/>
  <c r="AV35" i="22"/>
  <c r="D11" i="8"/>
  <c r="AI16" i="22"/>
  <c r="E315" i="20"/>
  <c r="AG22" i="22" l="1"/>
  <c r="AG23" i="22" s="1"/>
  <c r="AF44" i="40" a="1"/>
  <c r="AF44" i="40" s="1"/>
  <c r="AF63" i="40"/>
  <c r="AQ166" i="15"/>
  <c r="AQ167" i="15" s="1"/>
  <c r="F290" i="20"/>
  <c r="AQ165" i="15"/>
  <c r="AV32" i="22"/>
  <c r="AI18" i="22"/>
  <c r="E316" i="20"/>
  <c r="AH21" i="22" l="1"/>
  <c r="AG26" i="22"/>
  <c r="AR164" i="15"/>
  <c r="F291" i="20"/>
  <c r="F292" i="20" s="1"/>
  <c r="F293" i="20" s="1"/>
  <c r="F294" i="20" s="1"/>
  <c r="F295" i="20" s="1"/>
  <c r="F296" i="20" s="1"/>
  <c r="F297" i="20" s="1"/>
  <c r="F298" i="20" s="1"/>
  <c r="F299" i="20" s="1"/>
  <c r="F300" i="20" s="1"/>
  <c r="F301" i="20" s="1"/>
  <c r="AW30" i="22"/>
  <c r="AV37" i="22"/>
  <c r="AJ16" i="22"/>
  <c r="E317" i="20"/>
  <c r="AG44" i="40" l="1" a="1"/>
  <c r="AG44" i="40" s="1"/>
  <c r="AH22" i="22"/>
  <c r="AH23" i="22" s="1"/>
  <c r="AG63" i="40"/>
  <c r="AR166" i="15"/>
  <c r="AJ170" i="15" s="1"/>
  <c r="F302" i="20"/>
  <c r="AR165" i="15" s="1"/>
  <c r="AV38" i="22"/>
  <c r="AV11" i="8"/>
  <c r="AJ18" i="22"/>
  <c r="E318" i="20"/>
  <c r="G228" i="15"/>
  <c r="G224" i="15"/>
  <c r="G154" i="15"/>
  <c r="G152" i="15"/>
  <c r="G151" i="15"/>
  <c r="G120" i="15"/>
  <c r="G119" i="15"/>
  <c r="G116" i="15"/>
  <c r="G115" i="15"/>
  <c r="G114" i="15"/>
  <c r="G113" i="15"/>
  <c r="G240" i="15"/>
  <c r="G239" i="15"/>
  <c r="G237" i="15"/>
  <c r="G110" i="15"/>
  <c r="G109" i="15"/>
  <c r="G108" i="15"/>
  <c r="G106" i="15"/>
  <c r="G107" i="15"/>
  <c r="G105" i="15"/>
  <c r="G104" i="15"/>
  <c r="G102" i="15"/>
  <c r="G103" i="15"/>
  <c r="G23" i="15"/>
  <c r="G25" i="15"/>
  <c r="G22" i="15"/>
  <c r="G21" i="15"/>
  <c r="G20" i="15"/>
  <c r="G15" i="15"/>
  <c r="G17" i="15"/>
  <c r="G14" i="15"/>
  <c r="G13" i="15"/>
  <c r="G12" i="15"/>
  <c r="G449" i="14"/>
  <c r="G445" i="14"/>
  <c r="G442" i="14"/>
  <c r="G437" i="14"/>
  <c r="G439" i="14"/>
  <c r="G438" i="14"/>
  <c r="G435" i="14"/>
  <c r="G434" i="14"/>
  <c r="G123" i="14"/>
  <c r="G122" i="14"/>
  <c r="G121" i="14"/>
  <c r="G120" i="14"/>
  <c r="G119" i="14"/>
  <c r="G105" i="14"/>
  <c r="G104" i="14"/>
  <c r="G103" i="14"/>
  <c r="G102" i="14"/>
  <c r="G101" i="14"/>
  <c r="G100" i="14"/>
  <c r="G99" i="14"/>
  <c r="G98" i="14"/>
  <c r="G97" i="14"/>
  <c r="G96" i="14"/>
  <c r="G95" i="14"/>
  <c r="G94" i="14"/>
  <c r="G93" i="14"/>
  <c r="G92" i="14"/>
  <c r="G91" i="14"/>
  <c r="G90" i="14"/>
  <c r="G89" i="14"/>
  <c r="G88" i="14"/>
  <c r="G87" i="14"/>
  <c r="G86" i="14"/>
  <c r="G85" i="14"/>
  <c r="G84" i="14"/>
  <c r="G83" i="14"/>
  <c r="G82" i="14"/>
  <c r="G81" i="14"/>
  <c r="G68" i="14"/>
  <c r="G62" i="14"/>
  <c r="G61" i="14"/>
  <c r="G20" i="14"/>
  <c r="G22" i="14"/>
  <c r="G21" i="14"/>
  <c r="G18" i="14"/>
  <c r="G17" i="14"/>
  <c r="G12" i="14"/>
  <c r="G14" i="14"/>
  <c r="G13" i="14"/>
  <c r="G10" i="14"/>
  <c r="G9" i="14"/>
  <c r="Y170" i="15" l="1"/>
  <c r="AN170" i="15"/>
  <c r="AB170" i="15"/>
  <c r="AQ170" i="15"/>
  <c r="AI21" i="22"/>
  <c r="AH26" i="22"/>
  <c r="AH170" i="15"/>
  <c r="AC170" i="15"/>
  <c r="AL170" i="15"/>
  <c r="AM170" i="15"/>
  <c r="AD170" i="15"/>
  <c r="AK170" i="15"/>
  <c r="AF170" i="15"/>
  <c r="AP170" i="15"/>
  <c r="AI170" i="15"/>
  <c r="Z170" i="15"/>
  <c r="X170" i="15"/>
  <c r="V170" i="15"/>
  <c r="AR170" i="15"/>
  <c r="AR167" i="15"/>
  <c r="AR206" i="15" s="1"/>
  <c r="AR207" i="15" s="1"/>
  <c r="AO170" i="15"/>
  <c r="W170" i="15"/>
  <c r="AE170" i="15"/>
  <c r="AA170" i="15"/>
  <c r="AG170" i="15"/>
  <c r="AW35" i="22"/>
  <c r="AQ171" i="15"/>
  <c r="AL171" i="15"/>
  <c r="AK171" i="15"/>
  <c r="AN171" i="15"/>
  <c r="AM171" i="15"/>
  <c r="AA171" i="15"/>
  <c r="AP171" i="15"/>
  <c r="AG171" i="15"/>
  <c r="AD171" i="15"/>
  <c r="V171" i="15"/>
  <c r="Y171" i="15"/>
  <c r="AR171" i="15"/>
  <c r="W171" i="15"/>
  <c r="AB171" i="15"/>
  <c r="AE171" i="15"/>
  <c r="AH171" i="15"/>
  <c r="AC171" i="15"/>
  <c r="X171" i="15"/>
  <c r="Z171" i="15"/>
  <c r="AJ171" i="15"/>
  <c r="AF171" i="15"/>
  <c r="AO171" i="15"/>
  <c r="AI171" i="15"/>
  <c r="F303" i="20"/>
  <c r="F304" i="20" s="1"/>
  <c r="F305" i="20" s="1"/>
  <c r="F306" i="20" s="1"/>
  <c r="F307" i="20" s="1"/>
  <c r="F308" i="20" s="1"/>
  <c r="F309" i="20" s="1"/>
  <c r="F310" i="20" s="1"/>
  <c r="F311" i="20" s="1"/>
  <c r="F312" i="20" s="1"/>
  <c r="F313" i="20" s="1"/>
  <c r="AV41" i="22"/>
  <c r="AW32" i="22"/>
  <c r="AK16" i="22"/>
  <c r="E319" i="20"/>
  <c r="BC96" i="2"/>
  <c r="BC95" i="2"/>
  <c r="BC94" i="2"/>
  <c r="BC91" i="2"/>
  <c r="BC90" i="2"/>
  <c r="BC85" i="2"/>
  <c r="BC87" i="2"/>
  <c r="BC84" i="2"/>
  <c r="BC83" i="2"/>
  <c r="BC82" i="2"/>
  <c r="BC77" i="2"/>
  <c r="BC79" i="2"/>
  <c r="BC78" i="2"/>
  <c r="BC75" i="2"/>
  <c r="BC74" i="2"/>
  <c r="BC70" i="2"/>
  <c r="BC67" i="2"/>
  <c r="BC69" i="2"/>
  <c r="BC68" i="2"/>
  <c r="BC65" i="2"/>
  <c r="BC64" i="2"/>
  <c r="BC59" i="2"/>
  <c r="BC61" i="2"/>
  <c r="BC60" i="2"/>
  <c r="BC57" i="2"/>
  <c r="BC56" i="2"/>
  <c r="BC51" i="2"/>
  <c r="BC53" i="2"/>
  <c r="BC52" i="2"/>
  <c r="BC49" i="2"/>
  <c r="BC48" i="2"/>
  <c r="BB96" i="2"/>
  <c r="BB95" i="2"/>
  <c r="BB94" i="2"/>
  <c r="BB91" i="2"/>
  <c r="BB90" i="2"/>
  <c r="BB85" i="2"/>
  <c r="BB87" i="2"/>
  <c r="BB84" i="2"/>
  <c r="BB83" i="2"/>
  <c r="BB82" i="2"/>
  <c r="BB77" i="2"/>
  <c r="BB79" i="2"/>
  <c r="BB78" i="2"/>
  <c r="BB75" i="2"/>
  <c r="BB74" i="2"/>
  <c r="BB70" i="2"/>
  <c r="BB67" i="2"/>
  <c r="BB69" i="2"/>
  <c r="BB68" i="2"/>
  <c r="BB65" i="2"/>
  <c r="BB64" i="2"/>
  <c r="BB59" i="2"/>
  <c r="BB61" i="2"/>
  <c r="BB60" i="2"/>
  <c r="BB57" i="2"/>
  <c r="BB56" i="2"/>
  <c r="BB51" i="2"/>
  <c r="BB53" i="2"/>
  <c r="BB52" i="2"/>
  <c r="BB49" i="2"/>
  <c r="BB48" i="2"/>
  <c r="BB62" i="4"/>
  <c r="BB61" i="4"/>
  <c r="BC57" i="4"/>
  <c r="BC58" i="4"/>
  <c r="BC54" i="4"/>
  <c r="BC53" i="4"/>
  <c r="BB58" i="4"/>
  <c r="BB57" i="4"/>
  <c r="BB54" i="4"/>
  <c r="BB53" i="4"/>
  <c r="BB49" i="4"/>
  <c r="BB48" i="4"/>
  <c r="BB45" i="4"/>
  <c r="BB44" i="4"/>
  <c r="BB41" i="4"/>
  <c r="BB40" i="4"/>
  <c r="BC38" i="8"/>
  <c r="BC37" i="8"/>
  <c r="BC36" i="8"/>
  <c r="BC35" i="8"/>
  <c r="BC34" i="8"/>
  <c r="BC33" i="8"/>
  <c r="BC30" i="8"/>
  <c r="BC29" i="8"/>
  <c r="BC28" i="8"/>
  <c r="BC27" i="8"/>
  <c r="BC26" i="8"/>
  <c r="BC25" i="8"/>
  <c r="BB53" i="8"/>
  <c r="BB52" i="8"/>
  <c r="BB49" i="8"/>
  <c r="BB47" i="8"/>
  <c r="BB45" i="8"/>
  <c r="BB44" i="8"/>
  <c r="BB38" i="8"/>
  <c r="BB37" i="8"/>
  <c r="BB36" i="8"/>
  <c r="BB35" i="8"/>
  <c r="BB34" i="8"/>
  <c r="BB33" i="8"/>
  <c r="BB30" i="8"/>
  <c r="BB29" i="8"/>
  <c r="BB28" i="8"/>
  <c r="BB27" i="8"/>
  <c r="BB26" i="8"/>
  <c r="BB25" i="8"/>
  <c r="BC101" i="9"/>
  <c r="BC100" i="9"/>
  <c r="BC99" i="9"/>
  <c r="BC98" i="9"/>
  <c r="BC97" i="9"/>
  <c r="BC94" i="9"/>
  <c r="BC93" i="9"/>
  <c r="BC92" i="9"/>
  <c r="BC91" i="9"/>
  <c r="BC90" i="9"/>
  <c r="BC87" i="9"/>
  <c r="BC86" i="9"/>
  <c r="BC85" i="9"/>
  <c r="BC84" i="9"/>
  <c r="BC83" i="9"/>
  <c r="BC80" i="9"/>
  <c r="BC79" i="9"/>
  <c r="BC78" i="9"/>
  <c r="BC77" i="9"/>
  <c r="BC76" i="9"/>
  <c r="BC75" i="9"/>
  <c r="BC73" i="9"/>
  <c r="BC72" i="9"/>
  <c r="BC71" i="9"/>
  <c r="BC70" i="9"/>
  <c r="BC69" i="9"/>
  <c r="BC68" i="9"/>
  <c r="BC67" i="9"/>
  <c r="BC66" i="9"/>
  <c r="BC63" i="9"/>
  <c r="BC62" i="9"/>
  <c r="BC61" i="9"/>
  <c r="BC60" i="9"/>
  <c r="BC59" i="9"/>
  <c r="BC58" i="9"/>
  <c r="BC56" i="9"/>
  <c r="BC55" i="9"/>
  <c r="BC54" i="9"/>
  <c r="BC53" i="9"/>
  <c r="BC52" i="9"/>
  <c r="BC51" i="9"/>
  <c r="BC50" i="9"/>
  <c r="BC49" i="9"/>
  <c r="BB101" i="9"/>
  <c r="BB100" i="9"/>
  <c r="BB99" i="9"/>
  <c r="BB98" i="9"/>
  <c r="BB97" i="9"/>
  <c r="BB94" i="9"/>
  <c r="BB93" i="9"/>
  <c r="BB92" i="9"/>
  <c r="BB91" i="9"/>
  <c r="BB90" i="9"/>
  <c r="BB87" i="9"/>
  <c r="BB86" i="9"/>
  <c r="BB85" i="9"/>
  <c r="BB84" i="9"/>
  <c r="BB83" i="9"/>
  <c r="BB80" i="9"/>
  <c r="BB79" i="9"/>
  <c r="BB78" i="9"/>
  <c r="BB77" i="9"/>
  <c r="BB76" i="9"/>
  <c r="BB75" i="9"/>
  <c r="BB73" i="9"/>
  <c r="BB72" i="9"/>
  <c r="BB71" i="9"/>
  <c r="BB70" i="9"/>
  <c r="BB69" i="9"/>
  <c r="BB68" i="9"/>
  <c r="BB67" i="9"/>
  <c r="BB66" i="9"/>
  <c r="BB63" i="9"/>
  <c r="BB62" i="9"/>
  <c r="BB61" i="9"/>
  <c r="BB60" i="9"/>
  <c r="BB59" i="9"/>
  <c r="BB58" i="9"/>
  <c r="BB56" i="9"/>
  <c r="BB55" i="9"/>
  <c r="BB54" i="9"/>
  <c r="BB53" i="9"/>
  <c r="BB52" i="9"/>
  <c r="BB51" i="9"/>
  <c r="BB50" i="9"/>
  <c r="BB49" i="9"/>
  <c r="BB45" i="9"/>
  <c r="BB44" i="9"/>
  <c r="BB43" i="9"/>
  <c r="BB42" i="9"/>
  <c r="BB41" i="9"/>
  <c r="BB40" i="9"/>
  <c r="BB37" i="9"/>
  <c r="BB36" i="9"/>
  <c r="BC102" i="13"/>
  <c r="BC76" i="13"/>
  <c r="BC75" i="13"/>
  <c r="BC74" i="13"/>
  <c r="BC71" i="13"/>
  <c r="BB108" i="13"/>
  <c r="BB102" i="13"/>
  <c r="BB76" i="13"/>
  <c r="BB75" i="13"/>
  <c r="BB74" i="13"/>
  <c r="BB71" i="13"/>
  <c r="BB64" i="13"/>
  <c r="BB62" i="13"/>
  <c r="BB61" i="13"/>
  <c r="BB60" i="13"/>
  <c r="BB59" i="13"/>
  <c r="BB58" i="13"/>
  <c r="BB55" i="13"/>
  <c r="BB53" i="13"/>
  <c r="BB51" i="13"/>
  <c r="BB49" i="13"/>
  <c r="BB48" i="13"/>
  <c r="BB46" i="13"/>
  <c r="BB45" i="13"/>
  <c r="BB44" i="13"/>
  <c r="BB43" i="13"/>
  <c r="BC105" i="11"/>
  <c r="BC104" i="11"/>
  <c r="BC101" i="11"/>
  <c r="BC100" i="11"/>
  <c r="BC99" i="11"/>
  <c r="BC98" i="11"/>
  <c r="BC89" i="11"/>
  <c r="BC85" i="11"/>
  <c r="BC84" i="11"/>
  <c r="BC82" i="11"/>
  <c r="BC81" i="11"/>
  <c r="BC80" i="11"/>
  <c r="BC77" i="11"/>
  <c r="BC76" i="11"/>
  <c r="BC75" i="11"/>
  <c r="BC74" i="11"/>
  <c r="BB105" i="11"/>
  <c r="BB104" i="11"/>
  <c r="BB101" i="11"/>
  <c r="BB100" i="11"/>
  <c r="BB99" i="11"/>
  <c r="BB98" i="11"/>
  <c r="BB89" i="11"/>
  <c r="BB85" i="11"/>
  <c r="BB84" i="11"/>
  <c r="BB82" i="11"/>
  <c r="BB81" i="11"/>
  <c r="BB80" i="11"/>
  <c r="BB77" i="11"/>
  <c r="BB76" i="11"/>
  <c r="BB75" i="11"/>
  <c r="BB74" i="11"/>
  <c r="BB57" i="11"/>
  <c r="BB56" i="11"/>
  <c r="BB54" i="11"/>
  <c r="BB52" i="11"/>
  <c r="BB51" i="11"/>
  <c r="BB43" i="11"/>
  <c r="BB41" i="11"/>
  <c r="BB40" i="11"/>
  <c r="BB39" i="11"/>
  <c r="BB36" i="11"/>
  <c r="BB24" i="12"/>
  <c r="BB23" i="12"/>
  <c r="BB22" i="12"/>
  <c r="BB20" i="12"/>
  <c r="BB19" i="12"/>
  <c r="BB18" i="12"/>
  <c r="BB17" i="12"/>
  <c r="BB16" i="12"/>
  <c r="BB15" i="12"/>
  <c r="BB14" i="12"/>
  <c r="BB12" i="12"/>
  <c r="BB11" i="12"/>
  <c r="BB13" i="12"/>
  <c r="BB9" i="12"/>
  <c r="BB8" i="12"/>
  <c r="BB10" i="12"/>
  <c r="BB7" i="12"/>
  <c r="BC59" i="15"/>
  <c r="BC58" i="15"/>
  <c r="BC56" i="15"/>
  <c r="BC55" i="15"/>
  <c r="BC54" i="15"/>
  <c r="BC53" i="15"/>
  <c r="BC52" i="15"/>
  <c r="BC49" i="15"/>
  <c r="BC48" i="15"/>
  <c r="BC47" i="15"/>
  <c r="BC228" i="15"/>
  <c r="BC227" i="15"/>
  <c r="BC224" i="15"/>
  <c r="BC223" i="15"/>
  <c r="BC222" i="15"/>
  <c r="BC221" i="15"/>
  <c r="BC23" i="15"/>
  <c r="BC25" i="15"/>
  <c r="BC22" i="15"/>
  <c r="BC21" i="15"/>
  <c r="BC20" i="15"/>
  <c r="BC15" i="15"/>
  <c r="BC17" i="15"/>
  <c r="BC14" i="15"/>
  <c r="BC13" i="15"/>
  <c r="BC12" i="15"/>
  <c r="BB59" i="15"/>
  <c r="BB58" i="15"/>
  <c r="BB56" i="15"/>
  <c r="BB55" i="15"/>
  <c r="BB54" i="15"/>
  <c r="BB53" i="15"/>
  <c r="BB52" i="15"/>
  <c r="BB49" i="15"/>
  <c r="BB48" i="15"/>
  <c r="BB47" i="15"/>
  <c r="BB224" i="15"/>
  <c r="BB223" i="15"/>
  <c r="BB222" i="15"/>
  <c r="BB221" i="15"/>
  <c r="BB130" i="15"/>
  <c r="BB124" i="15"/>
  <c r="BB228" i="15"/>
  <c r="BB227" i="15"/>
  <c r="BB154" i="15"/>
  <c r="BB152" i="15"/>
  <c r="BB151" i="15"/>
  <c r="BB120" i="15"/>
  <c r="BB119" i="15"/>
  <c r="BB116" i="15"/>
  <c r="BB115" i="15"/>
  <c r="BB114" i="15"/>
  <c r="BB113" i="15"/>
  <c r="BB240" i="15"/>
  <c r="BB239" i="15"/>
  <c r="BB237" i="15"/>
  <c r="BB110" i="15"/>
  <c r="BB109" i="15"/>
  <c r="BB108" i="15"/>
  <c r="BB106" i="15"/>
  <c r="BB107" i="15"/>
  <c r="BB105" i="15"/>
  <c r="BB104" i="15"/>
  <c r="BB102" i="15"/>
  <c r="BB103" i="15"/>
  <c r="BB15" i="15"/>
  <c r="BB17" i="15"/>
  <c r="BB14" i="15"/>
  <c r="BB13" i="15"/>
  <c r="BB23" i="15"/>
  <c r="BB25" i="15"/>
  <c r="BB22" i="15"/>
  <c r="BB21" i="15"/>
  <c r="BB20" i="15"/>
  <c r="BB12" i="15"/>
  <c r="BD451" i="14"/>
  <c r="BD450" i="14"/>
  <c r="BD449" i="14"/>
  <c r="BD437" i="14"/>
  <c r="BD439" i="14"/>
  <c r="BD438" i="14"/>
  <c r="BD435" i="14"/>
  <c r="BD434" i="14"/>
  <c r="BD430" i="14"/>
  <c r="BD429" i="14"/>
  <c r="BD428" i="14"/>
  <c r="BD427" i="14"/>
  <c r="BD426" i="14"/>
  <c r="BD352" i="14"/>
  <c r="BD351" i="14"/>
  <c r="BD350" i="14"/>
  <c r="BD349" i="14"/>
  <c r="BD348" i="14"/>
  <c r="BD347" i="14"/>
  <c r="BD346" i="14"/>
  <c r="BD345" i="14"/>
  <c r="BD344" i="14"/>
  <c r="BD343" i="14"/>
  <c r="BD342" i="14"/>
  <c r="BD341" i="14"/>
  <c r="BD340" i="14"/>
  <c r="BD339" i="14"/>
  <c r="BD338" i="14"/>
  <c r="BD337" i="14"/>
  <c r="BD336" i="14"/>
  <c r="BD335" i="14"/>
  <c r="BD334" i="14"/>
  <c r="BD333" i="14"/>
  <c r="BD332" i="14"/>
  <c r="BD331" i="14"/>
  <c r="BD330" i="14"/>
  <c r="BD329" i="14"/>
  <c r="BD328" i="14"/>
  <c r="BD327" i="14"/>
  <c r="BD326" i="14"/>
  <c r="BD325" i="14"/>
  <c r="BD324" i="14"/>
  <c r="BD323" i="14"/>
  <c r="BD322" i="14"/>
  <c r="BD321" i="14"/>
  <c r="BD320" i="14"/>
  <c r="BD319" i="14"/>
  <c r="BD318" i="14"/>
  <c r="BD317" i="14"/>
  <c r="BD316" i="14"/>
  <c r="BD315" i="14"/>
  <c r="BD314" i="14"/>
  <c r="BD313" i="14"/>
  <c r="BD312" i="14"/>
  <c r="BD311" i="14"/>
  <c r="BD310" i="14"/>
  <c r="BD309" i="14"/>
  <c r="BD308" i="14"/>
  <c r="BD307" i="14"/>
  <c r="BD306" i="14"/>
  <c r="BD305" i="14"/>
  <c r="BD304" i="14"/>
  <c r="BD303" i="14"/>
  <c r="BD302" i="14"/>
  <c r="BD301" i="14"/>
  <c r="BD300" i="14"/>
  <c r="BD299" i="14"/>
  <c r="BD298" i="14"/>
  <c r="BD297" i="14"/>
  <c r="BD296" i="14"/>
  <c r="BD295" i="14"/>
  <c r="BD294" i="14"/>
  <c r="BD293" i="14"/>
  <c r="BD292" i="14"/>
  <c r="BD291" i="14"/>
  <c r="BD290" i="14"/>
  <c r="BD289" i="14"/>
  <c r="BD288" i="14"/>
  <c r="BD287" i="14"/>
  <c r="BD286" i="14"/>
  <c r="BD285" i="14"/>
  <c r="BD284" i="14"/>
  <c r="BD283" i="14"/>
  <c r="BD282" i="14"/>
  <c r="BD281" i="14"/>
  <c r="BD280" i="14"/>
  <c r="BD279" i="14"/>
  <c r="BD278" i="14"/>
  <c r="BD277" i="14"/>
  <c r="BD276" i="14"/>
  <c r="BD275" i="14"/>
  <c r="BD274" i="14"/>
  <c r="BD273" i="14"/>
  <c r="BD272" i="14"/>
  <c r="BD271" i="14"/>
  <c r="BD270" i="14"/>
  <c r="BD269" i="14"/>
  <c r="BD268" i="14"/>
  <c r="BD267" i="14"/>
  <c r="BD266" i="14"/>
  <c r="BD265" i="14"/>
  <c r="BD264" i="14"/>
  <c r="BD263" i="14"/>
  <c r="BD262" i="14"/>
  <c r="BD261" i="14"/>
  <c r="BD260" i="14"/>
  <c r="BD259" i="14"/>
  <c r="BD258" i="14"/>
  <c r="BD257" i="14"/>
  <c r="BD256" i="14"/>
  <c r="BD255" i="14"/>
  <c r="BD254" i="14"/>
  <c r="BD253" i="14"/>
  <c r="BD252" i="14"/>
  <c r="BD251" i="14"/>
  <c r="BD250" i="14"/>
  <c r="BD249" i="14"/>
  <c r="BD248" i="14"/>
  <c r="BD247" i="14"/>
  <c r="BD246" i="14"/>
  <c r="BD245" i="14"/>
  <c r="BD244" i="14"/>
  <c r="BD243" i="14"/>
  <c r="BD242" i="14"/>
  <c r="BD241" i="14"/>
  <c r="BD240" i="14"/>
  <c r="BD239" i="14"/>
  <c r="BD238" i="14"/>
  <c r="BD237" i="14"/>
  <c r="BD236" i="14"/>
  <c r="BD235" i="14"/>
  <c r="BD234" i="14"/>
  <c r="BD233" i="14"/>
  <c r="BD232" i="14"/>
  <c r="BD231" i="14"/>
  <c r="BD230" i="14"/>
  <c r="BD229" i="14"/>
  <c r="BD228" i="14"/>
  <c r="BD227" i="14"/>
  <c r="BD226" i="14"/>
  <c r="BD225" i="14"/>
  <c r="BD224" i="14"/>
  <c r="BD223" i="14"/>
  <c r="BD222" i="14"/>
  <c r="BD221" i="14"/>
  <c r="BD220" i="14"/>
  <c r="BD219" i="14"/>
  <c r="BD218" i="14"/>
  <c r="BD217" i="14"/>
  <c r="BD216" i="14"/>
  <c r="BD215" i="14"/>
  <c r="BD214" i="14"/>
  <c r="BD213" i="14"/>
  <c r="BD212" i="14"/>
  <c r="BD211" i="14"/>
  <c r="BD210" i="14"/>
  <c r="BD209" i="14"/>
  <c r="BD208" i="14"/>
  <c r="BD207" i="14"/>
  <c r="BD206" i="14"/>
  <c r="BD205" i="14"/>
  <c r="BD204" i="14"/>
  <c r="BD203" i="14"/>
  <c r="BD202" i="14"/>
  <c r="BD201" i="14"/>
  <c r="BD200" i="14"/>
  <c r="BD199" i="14"/>
  <c r="BD198" i="14"/>
  <c r="BD197" i="14"/>
  <c r="BD196" i="14"/>
  <c r="BD195" i="14"/>
  <c r="BD194" i="14"/>
  <c r="BD193" i="14"/>
  <c r="BD192" i="14"/>
  <c r="BD191" i="14"/>
  <c r="BD190" i="14"/>
  <c r="BD189" i="14"/>
  <c r="BD188" i="14"/>
  <c r="BD187" i="14"/>
  <c r="BD186" i="14"/>
  <c r="BD185" i="14"/>
  <c r="BD184" i="14"/>
  <c r="BD183" i="14"/>
  <c r="BD182" i="14"/>
  <c r="BD181" i="14"/>
  <c r="BD180" i="14"/>
  <c r="BD179" i="14"/>
  <c r="BD178" i="14"/>
  <c r="BD177" i="14"/>
  <c r="BD176" i="14"/>
  <c r="BD175" i="14"/>
  <c r="BD174" i="14"/>
  <c r="BD173" i="14"/>
  <c r="BD128" i="14"/>
  <c r="BD105" i="14"/>
  <c r="BD104" i="14"/>
  <c r="BD103" i="14"/>
  <c r="BD102" i="14"/>
  <c r="BD101" i="14"/>
  <c r="BD100" i="14"/>
  <c r="BD99" i="14"/>
  <c r="BD98" i="14"/>
  <c r="BD97" i="14"/>
  <c r="BD96" i="14"/>
  <c r="BD95" i="14"/>
  <c r="BD94" i="14"/>
  <c r="BD93" i="14"/>
  <c r="BD92" i="14"/>
  <c r="BD91" i="14"/>
  <c r="BD90" i="14"/>
  <c r="BD89" i="14"/>
  <c r="BD88" i="14"/>
  <c r="BD87" i="14"/>
  <c r="BD86" i="14"/>
  <c r="BD85" i="14"/>
  <c r="BD84" i="14"/>
  <c r="BD83" i="14"/>
  <c r="BD82" i="14"/>
  <c r="BD81" i="14"/>
  <c r="BD20" i="14"/>
  <c r="BD22" i="14"/>
  <c r="BD21" i="14"/>
  <c r="BD18" i="14"/>
  <c r="BD17" i="14"/>
  <c r="BD12" i="14"/>
  <c r="BD14" i="14"/>
  <c r="BD13" i="14"/>
  <c r="BD10" i="14"/>
  <c r="BD9" i="14"/>
  <c r="BC451" i="14"/>
  <c r="BC450" i="14"/>
  <c r="BC449" i="14"/>
  <c r="BC575" i="14"/>
  <c r="BC574" i="14"/>
  <c r="BC571" i="14"/>
  <c r="BC572" i="14"/>
  <c r="BC570" i="14"/>
  <c r="BC445" i="14"/>
  <c r="BC442" i="14"/>
  <c r="BC437" i="14"/>
  <c r="BC439" i="14"/>
  <c r="BC438" i="14"/>
  <c r="BC435" i="14"/>
  <c r="BC434" i="14"/>
  <c r="BC105" i="14"/>
  <c r="BC104" i="14"/>
  <c r="BC103" i="14"/>
  <c r="BC102" i="14"/>
  <c r="BC101" i="14"/>
  <c r="BC100" i="14"/>
  <c r="BC99" i="14"/>
  <c r="BC98" i="14"/>
  <c r="BC97" i="14"/>
  <c r="BC96" i="14"/>
  <c r="BC95" i="14"/>
  <c r="BC94" i="14"/>
  <c r="BC93" i="14"/>
  <c r="BC92" i="14"/>
  <c r="BC91" i="14"/>
  <c r="BC90" i="14"/>
  <c r="BC89" i="14"/>
  <c r="BC88" i="14"/>
  <c r="BC87" i="14"/>
  <c r="BC86" i="14"/>
  <c r="BC85" i="14"/>
  <c r="BC84" i="14"/>
  <c r="BC83" i="14"/>
  <c r="BC82" i="14"/>
  <c r="BC81" i="14"/>
  <c r="BC69" i="14"/>
  <c r="BC74" i="14"/>
  <c r="BC73" i="14"/>
  <c r="BC68" i="14"/>
  <c r="BC67" i="14"/>
  <c r="BC66" i="14"/>
  <c r="BC65" i="14"/>
  <c r="BC62" i="14"/>
  <c r="BC61" i="14"/>
  <c r="BC44" i="14"/>
  <c r="BC46" i="14"/>
  <c r="BC43" i="14"/>
  <c r="BC42" i="14"/>
  <c r="BC41" i="14"/>
  <c r="BC38" i="14"/>
  <c r="BC35" i="14"/>
  <c r="BC34" i="14"/>
  <c r="BC32" i="14"/>
  <c r="BC33" i="14"/>
  <c r="BC31" i="14"/>
  <c r="BC30" i="14"/>
  <c r="BC28" i="14"/>
  <c r="BC29" i="14"/>
  <c r="BC20" i="14"/>
  <c r="BC22" i="14"/>
  <c r="BC21" i="14"/>
  <c r="BC18" i="14"/>
  <c r="BC17" i="14"/>
  <c r="BC12" i="14"/>
  <c r="BC14" i="14"/>
  <c r="BC13" i="14"/>
  <c r="BC10" i="14"/>
  <c r="BC9" i="14"/>
  <c r="BB451" i="14"/>
  <c r="BB450" i="14"/>
  <c r="BB449" i="14"/>
  <c r="BB575" i="14"/>
  <c r="BB574" i="14"/>
  <c r="BB571" i="14"/>
  <c r="BB572" i="14"/>
  <c r="BB570" i="14"/>
  <c r="BB445" i="14"/>
  <c r="BB442" i="14"/>
  <c r="BB437" i="14"/>
  <c r="BB439" i="14"/>
  <c r="BB438" i="14"/>
  <c r="BB435" i="14"/>
  <c r="BB434" i="14"/>
  <c r="BB430" i="14"/>
  <c r="BB429" i="14"/>
  <c r="BB428" i="14"/>
  <c r="BB427" i="14"/>
  <c r="BB426" i="14"/>
  <c r="BB352" i="14"/>
  <c r="BB351" i="14"/>
  <c r="BB350" i="14"/>
  <c r="BB349" i="14"/>
  <c r="BB348" i="14"/>
  <c r="BB347" i="14"/>
  <c r="BB346" i="14"/>
  <c r="BB345" i="14"/>
  <c r="BB344" i="14"/>
  <c r="BB343" i="14"/>
  <c r="BB342" i="14"/>
  <c r="BB341" i="14"/>
  <c r="BB340" i="14"/>
  <c r="BB339" i="14"/>
  <c r="BB338" i="14"/>
  <c r="BB337" i="14"/>
  <c r="BB336" i="14"/>
  <c r="BB335" i="14"/>
  <c r="BB334" i="14"/>
  <c r="BB333" i="14"/>
  <c r="BB332" i="14"/>
  <c r="BB331" i="14"/>
  <c r="BB330" i="14"/>
  <c r="BB329" i="14"/>
  <c r="BB328" i="14"/>
  <c r="BB327" i="14"/>
  <c r="BB326" i="14"/>
  <c r="BB325" i="14"/>
  <c r="BB324" i="14"/>
  <c r="BB323" i="14"/>
  <c r="BB322" i="14"/>
  <c r="BB321" i="14"/>
  <c r="BB320" i="14"/>
  <c r="BB319" i="14"/>
  <c r="BB318" i="14"/>
  <c r="BB317" i="14"/>
  <c r="BB316" i="14"/>
  <c r="BB315" i="14"/>
  <c r="BB314" i="14"/>
  <c r="BB313" i="14"/>
  <c r="BB312" i="14"/>
  <c r="BB311" i="14"/>
  <c r="BB310" i="14"/>
  <c r="BB309" i="14"/>
  <c r="BB308" i="14"/>
  <c r="BB307" i="14"/>
  <c r="BB306" i="14"/>
  <c r="BB305" i="14"/>
  <c r="BB304" i="14"/>
  <c r="BB303" i="14"/>
  <c r="BB302" i="14"/>
  <c r="BB301" i="14"/>
  <c r="BB300" i="14"/>
  <c r="BB299" i="14"/>
  <c r="BB298" i="14"/>
  <c r="BB297" i="14"/>
  <c r="BB296" i="14"/>
  <c r="BB295" i="14"/>
  <c r="BB294" i="14"/>
  <c r="BB293" i="14"/>
  <c r="BB292" i="14"/>
  <c r="BB291" i="14"/>
  <c r="BB290" i="14"/>
  <c r="BB289" i="14"/>
  <c r="BB288" i="14"/>
  <c r="BB287" i="14"/>
  <c r="BB286" i="14"/>
  <c r="BB285" i="14"/>
  <c r="BB284" i="14"/>
  <c r="BB283" i="14"/>
  <c r="BB282" i="14"/>
  <c r="BB281" i="14"/>
  <c r="BB280" i="14"/>
  <c r="BB279" i="14"/>
  <c r="BB278" i="14"/>
  <c r="BB277" i="14"/>
  <c r="BB276" i="14"/>
  <c r="BB275" i="14"/>
  <c r="BB274" i="14"/>
  <c r="BB273" i="14"/>
  <c r="BB272" i="14"/>
  <c r="BB271" i="14"/>
  <c r="BB270" i="14"/>
  <c r="BB269" i="14"/>
  <c r="BB268" i="14"/>
  <c r="BB267" i="14"/>
  <c r="BB266" i="14"/>
  <c r="BB265" i="14"/>
  <c r="BB264" i="14"/>
  <c r="BB263" i="14"/>
  <c r="BB262" i="14"/>
  <c r="BB261" i="14"/>
  <c r="BB260" i="14"/>
  <c r="BB259" i="14"/>
  <c r="BB258" i="14"/>
  <c r="BB257" i="14"/>
  <c r="BB256" i="14"/>
  <c r="BB255" i="14"/>
  <c r="BB254" i="14"/>
  <c r="BB253" i="14"/>
  <c r="BB252" i="14"/>
  <c r="BB251" i="14"/>
  <c r="BB250" i="14"/>
  <c r="BB249" i="14"/>
  <c r="BB248" i="14"/>
  <c r="BB247" i="14"/>
  <c r="BB246" i="14"/>
  <c r="BB245" i="14"/>
  <c r="BB244" i="14"/>
  <c r="BB243" i="14"/>
  <c r="BB242" i="14"/>
  <c r="BB241" i="14"/>
  <c r="BB240" i="14"/>
  <c r="BB239" i="14"/>
  <c r="BB238" i="14"/>
  <c r="BB237" i="14"/>
  <c r="BB236" i="14"/>
  <c r="BB235" i="14"/>
  <c r="BB234" i="14"/>
  <c r="BB233" i="14"/>
  <c r="BB232" i="14"/>
  <c r="BB231" i="14"/>
  <c r="BB230" i="14"/>
  <c r="BB229" i="14"/>
  <c r="BB228" i="14"/>
  <c r="BB227" i="14"/>
  <c r="BB226" i="14"/>
  <c r="BB225" i="14"/>
  <c r="BB224" i="14"/>
  <c r="BB223" i="14"/>
  <c r="BB222" i="14"/>
  <c r="BB221" i="14"/>
  <c r="BB220" i="14"/>
  <c r="BB219" i="14"/>
  <c r="BB218" i="14"/>
  <c r="BB217" i="14"/>
  <c r="BB216" i="14"/>
  <c r="BB215" i="14"/>
  <c r="BB214" i="14"/>
  <c r="BB213" i="14"/>
  <c r="BB212" i="14"/>
  <c r="BB211" i="14"/>
  <c r="BB210" i="14"/>
  <c r="BB209" i="14"/>
  <c r="BB208" i="14"/>
  <c r="BB207" i="14"/>
  <c r="BB206" i="14"/>
  <c r="BB205" i="14"/>
  <c r="BB204" i="14"/>
  <c r="BB203" i="14"/>
  <c r="BB202" i="14"/>
  <c r="BB201" i="14"/>
  <c r="BB200" i="14"/>
  <c r="BB199" i="14"/>
  <c r="BB198" i="14"/>
  <c r="BB197" i="14"/>
  <c r="BB196" i="14"/>
  <c r="BB195" i="14"/>
  <c r="BB194" i="14"/>
  <c r="BB193" i="14"/>
  <c r="BB192" i="14"/>
  <c r="BB191" i="14"/>
  <c r="BB190" i="14"/>
  <c r="BB189" i="14"/>
  <c r="BB188" i="14"/>
  <c r="BB187" i="14"/>
  <c r="BB186" i="14"/>
  <c r="BB185" i="14"/>
  <c r="BB184" i="14"/>
  <c r="BB183" i="14"/>
  <c r="BB182" i="14"/>
  <c r="BB181" i="14"/>
  <c r="BB180" i="14"/>
  <c r="BB179" i="14"/>
  <c r="BB178" i="14"/>
  <c r="BB177" i="14"/>
  <c r="BB176" i="14"/>
  <c r="BB175" i="14"/>
  <c r="BB174" i="14"/>
  <c r="BB173" i="14"/>
  <c r="BB128" i="14"/>
  <c r="BB105" i="14"/>
  <c r="BB104" i="14"/>
  <c r="BB103" i="14"/>
  <c r="BB102" i="14"/>
  <c r="BB101" i="14"/>
  <c r="BB100" i="14"/>
  <c r="BB99" i="14"/>
  <c r="BB98" i="14"/>
  <c r="BB97" i="14"/>
  <c r="BB96" i="14"/>
  <c r="BB95" i="14"/>
  <c r="BB94" i="14"/>
  <c r="BB93" i="14"/>
  <c r="BB92" i="14"/>
  <c r="BB91" i="14"/>
  <c r="BB90" i="14"/>
  <c r="BB89" i="14"/>
  <c r="BB88" i="14"/>
  <c r="BB87" i="14"/>
  <c r="BB86" i="14"/>
  <c r="BB85" i="14"/>
  <c r="BB84" i="14"/>
  <c r="BB83" i="14"/>
  <c r="BB82" i="14"/>
  <c r="BB81" i="14"/>
  <c r="BB69" i="14"/>
  <c r="BB74" i="14"/>
  <c r="BB73" i="14"/>
  <c r="BB68" i="14"/>
  <c r="BB67" i="14"/>
  <c r="BB66" i="14"/>
  <c r="BB65" i="14"/>
  <c r="BB62" i="14"/>
  <c r="BB61" i="14"/>
  <c r="BB44" i="14"/>
  <c r="BB46" i="14"/>
  <c r="BB43" i="14"/>
  <c r="BB42" i="14"/>
  <c r="BB41" i="14"/>
  <c r="BB38" i="14"/>
  <c r="BB35" i="14"/>
  <c r="BB34" i="14"/>
  <c r="BB32" i="14"/>
  <c r="BB33" i="14"/>
  <c r="BB31" i="14"/>
  <c r="BB30" i="14"/>
  <c r="BB28" i="14"/>
  <c r="BB29" i="14"/>
  <c r="BB20" i="14"/>
  <c r="BB22" i="14"/>
  <c r="BB21" i="14"/>
  <c r="BB18" i="14"/>
  <c r="BB17" i="14"/>
  <c r="BB12" i="14"/>
  <c r="BB14" i="14"/>
  <c r="BB13" i="14"/>
  <c r="BB10" i="14"/>
  <c r="BB9" i="14"/>
  <c r="V58" i="40" l="1"/>
  <c r="AH44" i="40" a="1"/>
  <c r="AH44" i="40" s="1"/>
  <c r="AI22" i="22"/>
  <c r="AI23" i="22" s="1"/>
  <c r="AJ21" i="22" s="1"/>
  <c r="AH63" i="40"/>
  <c r="AS164" i="15"/>
  <c r="AS166" i="15" s="1"/>
  <c r="W39" i="40" a="1"/>
  <c r="W39" i="40" s="1"/>
  <c r="V39" i="40" a="1"/>
  <c r="V39" i="40" s="1"/>
  <c r="W58" i="40"/>
  <c r="F314" i="20"/>
  <c r="AS165" i="15" s="1"/>
  <c r="AS171" i="15" s="1"/>
  <c r="AX30" i="22"/>
  <c r="AW37" i="22"/>
  <c r="AW11" i="8" s="1"/>
  <c r="AK18" i="22"/>
  <c r="E320" i="20"/>
  <c r="AI26" i="22" l="1"/>
  <c r="AJ22" i="22" s="1"/>
  <c r="F315" i="20"/>
  <c r="F316" i="20" s="1"/>
  <c r="F317" i="20" s="1"/>
  <c r="F318" i="20" s="1"/>
  <c r="F319" i="20" s="1"/>
  <c r="F320" i="20" s="1"/>
  <c r="AS170" i="15"/>
  <c r="AS167" i="15"/>
  <c r="AS206" i="15" s="1"/>
  <c r="AW38" i="22"/>
  <c r="AL16" i="22"/>
  <c r="E321" i="20"/>
  <c r="AI44" i="40" l="1" a="1"/>
  <c r="AI44" i="40" s="1"/>
  <c r="AI63" i="40"/>
  <c r="AJ23" i="22"/>
  <c r="AS207" i="15"/>
  <c r="F321" i="20"/>
  <c r="AX35" i="22"/>
  <c r="AW41" i="22"/>
  <c r="AL18" i="22"/>
  <c r="E322" i="20"/>
  <c r="AK21" i="22" l="1"/>
  <c r="AJ26" i="22"/>
  <c r="F322" i="20"/>
  <c r="AX32" i="22"/>
  <c r="AM16" i="22"/>
  <c r="E323" i="20"/>
  <c r="AY41" i="15"/>
  <c r="AY37" i="4" s="1"/>
  <c r="AX41" i="15"/>
  <c r="AX37" i="4" s="1"/>
  <c r="AW41" i="15"/>
  <c r="AW37" i="4" s="1"/>
  <c r="AV41" i="15"/>
  <c r="AV37" i="4" s="1"/>
  <c r="AY40" i="15"/>
  <c r="AX40" i="15"/>
  <c r="AW40" i="15"/>
  <c r="AV40" i="15"/>
  <c r="AY141" i="15"/>
  <c r="AY159" i="27" s="1"/>
  <c r="AX141" i="15"/>
  <c r="AX159" i="27" s="1"/>
  <c r="AW141" i="15"/>
  <c r="AW159" i="27" s="1"/>
  <c r="AV141" i="15"/>
  <c r="AV159" i="27" s="1"/>
  <c r="AU141" i="15"/>
  <c r="AU159" i="27" s="1"/>
  <c r="AY137" i="15"/>
  <c r="AY156" i="27" s="1"/>
  <c r="AX137" i="15"/>
  <c r="AX156" i="27" s="1"/>
  <c r="AW137" i="15"/>
  <c r="AW156" i="27" s="1"/>
  <c r="AV137" i="15"/>
  <c r="AV156" i="27" s="1"/>
  <c r="AU137" i="15"/>
  <c r="AU156" i="27" s="1"/>
  <c r="AY132" i="15"/>
  <c r="AY152" i="27" s="1"/>
  <c r="AX132" i="15"/>
  <c r="AX152" i="27" s="1"/>
  <c r="AW132" i="15"/>
  <c r="AW152" i="27" s="1"/>
  <c r="AV132" i="15"/>
  <c r="AV152" i="27" s="1"/>
  <c r="AU132" i="15"/>
  <c r="AU152" i="27" s="1"/>
  <c r="AY126" i="15"/>
  <c r="AY147" i="27" s="1"/>
  <c r="AX126" i="15"/>
  <c r="AX147" i="27" s="1"/>
  <c r="AW126" i="15"/>
  <c r="AW147" i="27" s="1"/>
  <c r="AV126" i="15"/>
  <c r="AV147" i="27" s="1"/>
  <c r="AU126" i="15"/>
  <c r="AU147" i="27" s="1"/>
  <c r="AY148" i="15"/>
  <c r="AX148" i="15"/>
  <c r="AW148" i="15"/>
  <c r="AV148" i="15"/>
  <c r="AU148" i="15"/>
  <c r="AY147" i="15"/>
  <c r="AX147" i="15"/>
  <c r="AW147" i="15"/>
  <c r="AV147" i="15"/>
  <c r="AU147" i="15"/>
  <c r="AY146" i="15"/>
  <c r="AX146" i="15"/>
  <c r="AW146" i="15"/>
  <c r="AV146" i="15"/>
  <c r="AU146" i="15"/>
  <c r="AY145" i="15"/>
  <c r="AX145" i="15"/>
  <c r="AW145" i="15"/>
  <c r="AV145" i="15"/>
  <c r="AU145" i="15"/>
  <c r="AY144" i="15"/>
  <c r="AX144" i="15"/>
  <c r="AW144" i="15"/>
  <c r="AV144" i="15"/>
  <c r="AU144" i="15"/>
  <c r="AY143" i="15"/>
  <c r="AX143" i="15"/>
  <c r="AW143" i="15"/>
  <c r="AV143" i="15"/>
  <c r="AU143" i="15"/>
  <c r="AU225" i="15"/>
  <c r="AU23" i="11" s="1"/>
  <c r="AU139" i="15"/>
  <c r="AU31" i="9" s="1"/>
  <c r="AU90" i="9" s="1"/>
  <c r="AU135" i="15"/>
  <c r="AU129" i="15"/>
  <c r="AU123" i="15"/>
  <c r="AY228" i="15"/>
  <c r="AY15" i="11" s="1"/>
  <c r="AX228" i="15"/>
  <c r="AX15" i="11" s="1"/>
  <c r="AW228" i="15"/>
  <c r="AW15" i="11" s="1"/>
  <c r="AV228" i="15"/>
  <c r="AV15" i="11" s="1"/>
  <c r="AU228" i="15"/>
  <c r="AU15" i="11" s="1"/>
  <c r="AY227" i="15"/>
  <c r="AY19" i="11" s="1"/>
  <c r="AX227" i="15"/>
  <c r="AX19" i="11" s="1"/>
  <c r="AW227" i="15"/>
  <c r="AW19" i="11" s="1"/>
  <c r="AV227" i="15"/>
  <c r="AV19" i="11" s="1"/>
  <c r="AU227" i="15"/>
  <c r="AU19" i="11" s="1"/>
  <c r="AU130" i="15"/>
  <c r="AU124" i="15"/>
  <c r="AY224" i="15"/>
  <c r="AY14" i="11" s="1"/>
  <c r="AX224" i="15"/>
  <c r="AX14" i="11" s="1"/>
  <c r="AW224" i="15"/>
  <c r="AW14" i="11" s="1"/>
  <c r="AV224" i="15"/>
  <c r="AV14" i="11" s="1"/>
  <c r="AU224" i="15"/>
  <c r="AU14" i="11" s="1"/>
  <c r="AY223" i="15"/>
  <c r="AX223" i="15"/>
  <c r="AW223" i="15"/>
  <c r="AV223" i="15"/>
  <c r="AU223" i="15"/>
  <c r="AY222" i="15"/>
  <c r="AX222" i="15"/>
  <c r="AW222" i="15"/>
  <c r="AV222" i="15"/>
  <c r="AU222" i="15"/>
  <c r="AY221" i="15"/>
  <c r="AY18" i="11" s="1"/>
  <c r="AX221" i="15"/>
  <c r="AX18" i="11" s="1"/>
  <c r="AW221" i="15"/>
  <c r="AW18" i="11" s="1"/>
  <c r="AV221" i="15"/>
  <c r="AV18" i="11" s="1"/>
  <c r="AU221" i="15"/>
  <c r="AU18" i="11" s="1"/>
  <c r="D159" i="27" a="1"/>
  <c r="D14" i="11" a="1"/>
  <c r="D19" i="11" a="1"/>
  <c r="D152" i="27" a="1"/>
  <c r="D147" i="27" a="1"/>
  <c r="D15" i="11" a="1"/>
  <c r="D156" i="27" a="1"/>
  <c r="D18" i="11" a="1"/>
  <c r="D152" i="27" l="1"/>
  <c r="D156" i="27"/>
  <c r="D159" i="27"/>
  <c r="D147" i="27"/>
  <c r="AV100" i="40"/>
  <c r="AU100" i="40"/>
  <c r="AJ63" i="40"/>
  <c r="AK22" i="22"/>
  <c r="AK23" i="22" s="1"/>
  <c r="AJ44" i="40" a="1"/>
  <c r="AJ44" i="40" s="1"/>
  <c r="AW100" i="40"/>
  <c r="AX100" i="40"/>
  <c r="AY100" i="40"/>
  <c r="AY40" i="11"/>
  <c r="AX40" i="11"/>
  <c r="AU40" i="11"/>
  <c r="AV40" i="11"/>
  <c r="AW40" i="11"/>
  <c r="AU74" i="11"/>
  <c r="AU98" i="11"/>
  <c r="AV36" i="4"/>
  <c r="AW36" i="4"/>
  <c r="AX36" i="4"/>
  <c r="AY36" i="4"/>
  <c r="F323" i="20"/>
  <c r="AY30" i="22"/>
  <c r="AX37" i="22"/>
  <c r="AM18" i="22"/>
  <c r="D15" i="11"/>
  <c r="D19" i="11"/>
  <c r="D14" i="11"/>
  <c r="D18" i="11"/>
  <c r="AX39" i="13"/>
  <c r="AY39" i="13"/>
  <c r="AV39" i="13"/>
  <c r="AW39" i="13"/>
  <c r="AU39" i="13"/>
  <c r="AU7" i="11"/>
  <c r="AV7" i="11"/>
  <c r="AW7" i="11"/>
  <c r="AX7" i="11"/>
  <c r="AY7" i="11"/>
  <c r="AV20" i="12"/>
  <c r="AV24" i="11"/>
  <c r="AV84" i="11" s="1"/>
  <c r="AU20" i="12"/>
  <c r="AU24" i="11"/>
  <c r="AU84" i="11" s="1"/>
  <c r="AW20" i="12"/>
  <c r="AW24" i="11"/>
  <c r="AW84" i="11" s="1"/>
  <c r="AX20" i="12"/>
  <c r="AX24" i="11"/>
  <c r="AX84" i="11" s="1"/>
  <c r="AY20" i="12"/>
  <c r="AY24" i="11"/>
  <c r="AY84" i="11" s="1"/>
  <c r="AV233" i="27"/>
  <c r="AW233" i="27"/>
  <c r="AX233" i="27"/>
  <c r="AY233" i="27"/>
  <c r="AU233" i="27"/>
  <c r="E324" i="20"/>
  <c r="I21" i="11"/>
  <c r="AY22" i="9"/>
  <c r="AX22" i="9"/>
  <c r="AW22" i="9"/>
  <c r="AV22" i="9"/>
  <c r="AY25" i="9"/>
  <c r="AX25" i="9"/>
  <c r="AW25" i="9"/>
  <c r="AV25" i="9"/>
  <c r="AU25" i="9"/>
  <c r="AY20" i="9"/>
  <c r="AX20" i="9"/>
  <c r="AW20" i="9"/>
  <c r="AV20" i="9"/>
  <c r="AU20" i="9"/>
  <c r="D25" i="9" a="1"/>
  <c r="D20" i="9" a="1"/>
  <c r="D39" i="13" a="1"/>
  <c r="D7" i="11" a="1"/>
  <c r="D233" i="27" a="1"/>
  <c r="D24" i="11" a="1"/>
  <c r="D23" i="11" a="1"/>
  <c r="I23" i="40" l="1"/>
  <c r="I48" i="40" a="1"/>
  <c r="I48" i="40" s="1"/>
  <c r="I67" i="40"/>
  <c r="AL21" i="22"/>
  <c r="AK26" i="22"/>
  <c r="AX11" i="8"/>
  <c r="AY253" i="27"/>
  <c r="AX253" i="27"/>
  <c r="AV253" i="27"/>
  <c r="AW253" i="27"/>
  <c r="F324" i="20"/>
  <c r="AX38" i="22"/>
  <c r="AN16" i="22"/>
  <c r="D25" i="9"/>
  <c r="D7" i="11"/>
  <c r="D39" i="13"/>
  <c r="D20" i="9"/>
  <c r="D233" i="27"/>
  <c r="D24" i="11"/>
  <c r="D23" i="11"/>
  <c r="AU253" i="27"/>
  <c r="E325" i="20"/>
  <c r="D32" i="9" a="1"/>
  <c r="AL22" i="22" l="1"/>
  <c r="AL23" i="22" s="1"/>
  <c r="AK44" i="40" a="1"/>
  <c r="AK44" i="40" s="1"/>
  <c r="AK63" i="40"/>
  <c r="F325" i="20"/>
  <c r="AY35" i="22"/>
  <c r="AX41" i="22"/>
  <c r="AN18" i="22"/>
  <c r="D32" i="9"/>
  <c r="E326" i="20"/>
  <c r="AM21" i="22" l="1"/>
  <c r="AL26" i="22"/>
  <c r="F326" i="20"/>
  <c r="AT165" i="15" s="1"/>
  <c r="AO16" i="22"/>
  <c r="E327" i="20"/>
  <c r="AM22" i="22" l="1"/>
  <c r="AM23" i="22" s="1"/>
  <c r="AL44" i="40" a="1"/>
  <c r="AL44" i="40" s="1"/>
  <c r="AL63" i="40"/>
  <c r="AT171" i="15"/>
  <c r="AT166" i="15"/>
  <c r="F327" i="20"/>
  <c r="AY32" i="22"/>
  <c r="AO18" i="22"/>
  <c r="E328" i="20"/>
  <c r="AN21" i="22" l="1"/>
  <c r="AM26" i="22"/>
  <c r="AM63" i="40" s="1"/>
  <c r="AY37" i="22"/>
  <c r="F328" i="20"/>
  <c r="AP16" i="22"/>
  <c r="E329" i="20"/>
  <c r="AM44" i="40" l="1" a="1"/>
  <c r="AM44" i="40" s="1"/>
  <c r="AN22" i="22"/>
  <c r="AN23" i="22" s="1"/>
  <c r="AY11" i="8"/>
  <c r="AY38" i="22"/>
  <c r="AY41" i="22" s="1"/>
  <c r="F329" i="20"/>
  <c r="AP18" i="22"/>
  <c r="E330" i="20"/>
  <c r="AO21" i="22" l="1"/>
  <c r="AN26" i="22"/>
  <c r="AO22" i="22" s="1"/>
  <c r="F330" i="20"/>
  <c r="AQ16" i="22"/>
  <c r="E331" i="20"/>
  <c r="AO23" i="22" l="1"/>
  <c r="AP21" i="22" s="1"/>
  <c r="AN63" i="40"/>
  <c r="AN44" i="40" a="1"/>
  <c r="AN44" i="40" s="1"/>
  <c r="F331" i="20"/>
  <c r="AQ18" i="22"/>
  <c r="E332" i="20"/>
  <c r="AO26" i="22" l="1"/>
  <c r="AO44" i="40" s="1" a="1"/>
  <c r="AO44" i="40" s="1"/>
  <c r="F332" i="20"/>
  <c r="AR16" i="22"/>
  <c r="E333" i="20"/>
  <c r="AO63" i="40" l="1"/>
  <c r="AP22" i="22"/>
  <c r="AP23" i="22" s="1"/>
  <c r="AQ21" i="22" s="1"/>
  <c r="F333" i="20"/>
  <c r="AR18" i="22"/>
  <c r="E334" i="20"/>
  <c r="AU28" i="9"/>
  <c r="AU83" i="9" s="1"/>
  <c r="AU24" i="9"/>
  <c r="AU19" i="9"/>
  <c r="D19" i="9" a="1"/>
  <c r="D24" i="9" a="1"/>
  <c r="D28" i="9" a="1"/>
  <c r="AP26" i="22" l="1"/>
  <c r="AP44" i="40" s="1" a="1"/>
  <c r="AP44" i="40" s="1"/>
  <c r="F334" i="20"/>
  <c r="AS16" i="22"/>
  <c r="D28" i="9"/>
  <c r="D19" i="9"/>
  <c r="D24" i="9"/>
  <c r="E335" i="20"/>
  <c r="AY38" i="13"/>
  <c r="AX38" i="13"/>
  <c r="AW38" i="13"/>
  <c r="AV38" i="13"/>
  <c r="AU38" i="13"/>
  <c r="AY37" i="13"/>
  <c r="AX37" i="13"/>
  <c r="AW37" i="13"/>
  <c r="AV37" i="13"/>
  <c r="AU37" i="13"/>
  <c r="AY36" i="13"/>
  <c r="AX36" i="13"/>
  <c r="AW36" i="13"/>
  <c r="AV36" i="13"/>
  <c r="AU36" i="13"/>
  <c r="AY33" i="9"/>
  <c r="AX33" i="9"/>
  <c r="AW33" i="9"/>
  <c r="AV33" i="9"/>
  <c r="AU33" i="9"/>
  <c r="AY30" i="9"/>
  <c r="AX30" i="9"/>
  <c r="AW30" i="9"/>
  <c r="AV30" i="9"/>
  <c r="AU30" i="9"/>
  <c r="AY26" i="9"/>
  <c r="AX26" i="9"/>
  <c r="AW26" i="9"/>
  <c r="AV26" i="9"/>
  <c r="AU26" i="9"/>
  <c r="AY21" i="9"/>
  <c r="AX21" i="9"/>
  <c r="AW21" i="9"/>
  <c r="AV21" i="9"/>
  <c r="AU21" i="9"/>
  <c r="AY15" i="9"/>
  <c r="AX15" i="9"/>
  <c r="AW15" i="9"/>
  <c r="AV15" i="9"/>
  <c r="AU15" i="9"/>
  <c r="AY16" i="9"/>
  <c r="AX16" i="9"/>
  <c r="AW16" i="9"/>
  <c r="AV16" i="9"/>
  <c r="AU16" i="9"/>
  <c r="AY14" i="9"/>
  <c r="AX14" i="9"/>
  <c r="AW14" i="9"/>
  <c r="AV14" i="9"/>
  <c r="AU14" i="9"/>
  <c r="AY13" i="9"/>
  <c r="AX13" i="9"/>
  <c r="AW13" i="9"/>
  <c r="AV13" i="9"/>
  <c r="AU13" i="9"/>
  <c r="AY12" i="9"/>
  <c r="AX12" i="9"/>
  <c r="AW12" i="9"/>
  <c r="AV12" i="9"/>
  <c r="AU12" i="9"/>
  <c r="AY11" i="9"/>
  <c r="AX11" i="9"/>
  <c r="AW11" i="9"/>
  <c r="AV11" i="9"/>
  <c r="AU11" i="9"/>
  <c r="AU23" i="9"/>
  <c r="AU66" i="9" s="1"/>
  <c r="AU18" i="9"/>
  <c r="AU49" i="9" s="1"/>
  <c r="AY20" i="11"/>
  <c r="AX20" i="11"/>
  <c r="AW20" i="11"/>
  <c r="AV20" i="11"/>
  <c r="AU20" i="11"/>
  <c r="D23" i="9" a="1"/>
  <c r="D15" i="9" a="1"/>
  <c r="D21" i="9" a="1"/>
  <c r="D11" i="9" a="1"/>
  <c r="D12" i="9" a="1"/>
  <c r="D31" i="9" a="1"/>
  <c r="D38" i="13" a="1"/>
  <c r="D20" i="11" a="1"/>
  <c r="D36" i="13" a="1"/>
  <c r="D37" i="13" a="1"/>
  <c r="D13" i="9" a="1"/>
  <c r="D26" i="9" a="1"/>
  <c r="D16" i="9" a="1"/>
  <c r="D33" i="9" a="1"/>
  <c r="D18" i="9" a="1"/>
  <c r="D14" i="9" a="1"/>
  <c r="D30" i="9" a="1"/>
  <c r="AQ22" i="22" l="1"/>
  <c r="AQ23" i="22" s="1"/>
  <c r="AQ26" i="22" s="1"/>
  <c r="AQ44" i="40" s="1" a="1"/>
  <c r="AQ44" i="40" s="1"/>
  <c r="AP63" i="40"/>
  <c r="F335" i="20"/>
  <c r="AS18" i="22"/>
  <c r="D20" i="11"/>
  <c r="D13" i="9"/>
  <c r="D36" i="13"/>
  <c r="D16" i="9"/>
  <c r="D12" i="9"/>
  <c r="D33" i="9"/>
  <c r="D26" i="9"/>
  <c r="D38" i="13"/>
  <c r="D31" i="9"/>
  <c r="D23" i="9"/>
  <c r="D14" i="9"/>
  <c r="D11" i="9"/>
  <c r="D30" i="9"/>
  <c r="D18" i="9"/>
  <c r="D21" i="9"/>
  <c r="D37" i="13"/>
  <c r="D15" i="9"/>
  <c r="E336" i="20"/>
  <c r="AY7" i="13"/>
  <c r="AX7" i="13"/>
  <c r="AW7" i="13"/>
  <c r="AV7" i="13"/>
  <c r="AU7" i="13"/>
  <c r="D7" i="13" a="1"/>
  <c r="AR21" i="22" l="1"/>
  <c r="AQ63" i="40"/>
  <c r="AR22" i="22"/>
  <c r="F336" i="20"/>
  <c r="AT16" i="22"/>
  <c r="D7" i="13"/>
  <c r="AU74" i="13"/>
  <c r="AU75" i="13" s="1"/>
  <c r="E337" i="20"/>
  <c r="AR23" i="22" l="1"/>
  <c r="AS21" i="22" s="1"/>
  <c r="F337" i="20"/>
  <c r="AT18" i="22"/>
  <c r="E338" i="20"/>
  <c r="AR26" i="22" l="1"/>
  <c r="AR44" i="40" s="1" a="1"/>
  <c r="AR44" i="40" s="1"/>
  <c r="AR63" i="40"/>
  <c r="F338" i="20"/>
  <c r="AU165" i="15" s="1"/>
  <c r="AU171" i="15" s="1"/>
  <c r="AU16" i="22"/>
  <c r="E339" i="20"/>
  <c r="AS22" i="22" l="1"/>
  <c r="AS23" i="22" s="1"/>
  <c r="AT21" i="22" s="1"/>
  <c r="AU16" i="8"/>
  <c r="F339" i="20"/>
  <c r="AU18" i="22"/>
  <c r="E340" i="20"/>
  <c r="AU113" i="15"/>
  <c r="AU120" i="15" s="1"/>
  <c r="AY239" i="15"/>
  <c r="AX239" i="15"/>
  <c r="AW239" i="15"/>
  <c r="AV239" i="15"/>
  <c r="AU239" i="15"/>
  <c r="AY237" i="15"/>
  <c r="AY15" i="12" s="1"/>
  <c r="AX237" i="15"/>
  <c r="AX15" i="12" s="1"/>
  <c r="AW237" i="15"/>
  <c r="AW15" i="12" s="1"/>
  <c r="AV237" i="15"/>
  <c r="AV15" i="12" s="1"/>
  <c r="AU237" i="15"/>
  <c r="AU15" i="12" s="1"/>
  <c r="AY20" i="15"/>
  <c r="AX20" i="15"/>
  <c r="AW20" i="15"/>
  <c r="AV20" i="15"/>
  <c r="AU20" i="15"/>
  <c r="AU12" i="15"/>
  <c r="AU78" i="40" s="1"/>
  <c r="AU7" i="2"/>
  <c r="D7" i="2" a="1"/>
  <c r="D16" i="8" a="1"/>
  <c r="AS26" i="22" l="1"/>
  <c r="AS63" i="40" s="1"/>
  <c r="AW39" i="2"/>
  <c r="AW79" i="40"/>
  <c r="AU39" i="2"/>
  <c r="AU79" i="40"/>
  <c r="AX39" i="2"/>
  <c r="AX79" i="40"/>
  <c r="AY39" i="2"/>
  <c r="AY79" i="40"/>
  <c r="AV39" i="2"/>
  <c r="AV79" i="40"/>
  <c r="AT22" i="22"/>
  <c r="AT23" i="22" s="1"/>
  <c r="AU21" i="22" s="1"/>
  <c r="AS44" i="40" a="1"/>
  <c r="AS44" i="40" s="1"/>
  <c r="D16" i="8"/>
  <c r="AV33" i="13"/>
  <c r="AU33" i="13"/>
  <c r="AW33" i="13"/>
  <c r="AX33" i="13"/>
  <c r="AU31" i="2"/>
  <c r="F340" i="20"/>
  <c r="AY33" i="13"/>
  <c r="AV16" i="22"/>
  <c r="D7" i="2"/>
  <c r="AU16" i="11"/>
  <c r="AU242" i="27"/>
  <c r="E341" i="20"/>
  <c r="AX14" i="12"/>
  <c r="AX23" i="12"/>
  <c r="AY14" i="12"/>
  <c r="AY23" i="12"/>
  <c r="AW23" i="12"/>
  <c r="AW14" i="12"/>
  <c r="AV23" i="12"/>
  <c r="AV14" i="12"/>
  <c r="AU23" i="12"/>
  <c r="AU14" i="12"/>
  <c r="AX10" i="13"/>
  <c r="AX9" i="11"/>
  <c r="AY10" i="13"/>
  <c r="AY9" i="11"/>
  <c r="AW9" i="11"/>
  <c r="AW10" i="13"/>
  <c r="AV9" i="11"/>
  <c r="AV10" i="13"/>
  <c r="AU9" i="11"/>
  <c r="AU10" i="13"/>
  <c r="AW119" i="15"/>
  <c r="AW17" i="12" s="1"/>
  <c r="AU119" i="15"/>
  <c r="AU17" i="12" s="1"/>
  <c r="AV119" i="15"/>
  <c r="AV17" i="12" s="1"/>
  <c r="AX119" i="15"/>
  <c r="AX17" i="12" s="1"/>
  <c r="AY119" i="15"/>
  <c r="AY17" i="12" s="1"/>
  <c r="AV240" i="15"/>
  <c r="AY240" i="15"/>
  <c r="AU240" i="15"/>
  <c r="AW240" i="15"/>
  <c r="AX240" i="15"/>
  <c r="D242" i="27" a="1"/>
  <c r="D16" i="11" a="1"/>
  <c r="D9" i="11" a="1"/>
  <c r="D33" i="13" a="1"/>
  <c r="D39" i="2" a="1"/>
  <c r="D31" i="2" a="1"/>
  <c r="D10" i="13" a="1"/>
  <c r="D39" i="2" l="1"/>
  <c r="AT26" i="22"/>
  <c r="AT63" i="40" s="1"/>
  <c r="AX16" i="12"/>
  <c r="AX12" i="38"/>
  <c r="AX30" i="38" s="1"/>
  <c r="AW16" i="12"/>
  <c r="AW12" i="38"/>
  <c r="AW30" i="38" s="1"/>
  <c r="AU16" i="12"/>
  <c r="AU12" i="38"/>
  <c r="AY16" i="12"/>
  <c r="AY12" i="38"/>
  <c r="AY30" i="38" s="1"/>
  <c r="AV16" i="12"/>
  <c r="AV12" i="38"/>
  <c r="AV30" i="38" s="1"/>
  <c r="D33" i="13"/>
  <c r="AU32" i="13"/>
  <c r="AX35" i="13"/>
  <c r="AU35" i="13"/>
  <c r="AW32" i="13"/>
  <c r="AV35" i="13"/>
  <c r="AW35" i="13"/>
  <c r="AX32" i="13"/>
  <c r="AV32" i="13"/>
  <c r="D31" i="2"/>
  <c r="F341" i="20"/>
  <c r="AY32" i="13"/>
  <c r="AY35" i="13"/>
  <c r="AV18" i="22"/>
  <c r="D16" i="11"/>
  <c r="D10" i="13"/>
  <c r="D9" i="11"/>
  <c r="D242" i="27"/>
  <c r="E342" i="20"/>
  <c r="AW9" i="9"/>
  <c r="AW15" i="13"/>
  <c r="AU9" i="9"/>
  <c r="AU15" i="13"/>
  <c r="AY9" i="9"/>
  <c r="AY15" i="13"/>
  <c r="AV9" i="9"/>
  <c r="AV15" i="13"/>
  <c r="AX9" i="9"/>
  <c r="AX15" i="13"/>
  <c r="D12" i="38" a="1"/>
  <c r="D35" i="13" a="1"/>
  <c r="D32" i="13" a="1"/>
  <c r="D9" i="9" a="1"/>
  <c r="D15" i="13" a="1"/>
  <c r="AU22" i="22" l="1"/>
  <c r="AU10" i="8" s="1"/>
  <c r="AT44" i="40" a="1"/>
  <c r="AT44" i="40" s="1"/>
  <c r="AX34" i="13"/>
  <c r="AY34" i="13"/>
  <c r="AV34" i="13"/>
  <c r="AU34" i="13"/>
  <c r="AW34" i="13"/>
  <c r="D12" i="38"/>
  <c r="AU30" i="38"/>
  <c r="AU23" i="22"/>
  <c r="AV21" i="22" s="1"/>
  <c r="D35" i="13"/>
  <c r="D32" i="13"/>
  <c r="F342" i="20"/>
  <c r="AW16" i="22"/>
  <c r="D15" i="13"/>
  <c r="D9" i="9"/>
  <c r="E343" i="20"/>
  <c r="AY27" i="11"/>
  <c r="AX27" i="11"/>
  <c r="AW27" i="11"/>
  <c r="AV27" i="11"/>
  <c r="AU27" i="11"/>
  <c r="AY39" i="11"/>
  <c r="AX39" i="11"/>
  <c r="AW39" i="11"/>
  <c r="AV39" i="11"/>
  <c r="AU39" i="11"/>
  <c r="D34" i="13" a="1"/>
  <c r="D10" i="8" a="1"/>
  <c r="D34" i="13" l="1"/>
  <c r="D10" i="8"/>
  <c r="AU26" i="22"/>
  <c r="AU44" i="40" s="1" a="1"/>
  <c r="AU44" i="40" s="1"/>
  <c r="F343" i="20"/>
  <c r="AW18" i="22"/>
  <c r="E344" i="20"/>
  <c r="AY41" i="11"/>
  <c r="AX41" i="11"/>
  <c r="AW41" i="11"/>
  <c r="AU41" i="11"/>
  <c r="AV41" i="11"/>
  <c r="AU63" i="40" l="1"/>
  <c r="AV22" i="22"/>
  <c r="F344" i="20"/>
  <c r="AX16" i="22"/>
  <c r="AU9" i="8"/>
  <c r="E345" i="20"/>
  <c r="D9" i="8" a="1"/>
  <c r="AV23" i="22" l="1"/>
  <c r="AW21" i="22" s="1"/>
  <c r="AV10" i="8"/>
  <c r="F345" i="20"/>
  <c r="D9" i="8"/>
  <c r="AX18" i="22"/>
  <c r="E346" i="20"/>
  <c r="AV26" i="22" l="1"/>
  <c r="AV44" i="40" s="1" a="1"/>
  <c r="AV44" i="40" s="1"/>
  <c r="F346" i="20"/>
  <c r="AY16" i="22"/>
  <c r="AV9" i="8"/>
  <c r="E347" i="20"/>
  <c r="AW22" i="22" l="1"/>
  <c r="AV63" i="40"/>
  <c r="F347" i="20"/>
  <c r="AY18" i="22"/>
  <c r="E348" i="20"/>
  <c r="AW10" i="8" l="1"/>
  <c r="AW23" i="22"/>
  <c r="F348" i="20"/>
  <c r="AW9" i="8"/>
  <c r="E349" i="20"/>
  <c r="AX21" i="22" l="1"/>
  <c r="AW26" i="22"/>
  <c r="AW63" i="40" s="1"/>
  <c r="F349" i="20"/>
  <c r="E350" i="20"/>
  <c r="AX22" i="22" l="1"/>
  <c r="AX10" i="8" s="1"/>
  <c r="AW44" i="40" a="1"/>
  <c r="AW44" i="40" s="1"/>
  <c r="F350" i="20"/>
  <c r="AX9" i="8"/>
  <c r="E351" i="20"/>
  <c r="AX23" i="22" l="1"/>
  <c r="AX26" i="22" s="1"/>
  <c r="AX63" i="40" s="1"/>
  <c r="AV165" i="15"/>
  <c r="AV171" i="15" s="1"/>
  <c r="F351" i="20"/>
  <c r="E352" i="20"/>
  <c r="AY21" i="22" l="1"/>
  <c r="AX44" i="40" a="1"/>
  <c r="AX44" i="40" s="1"/>
  <c r="AY22" i="22"/>
  <c r="AV16" i="8"/>
  <c r="AV242" i="27"/>
  <c r="AV16" i="11"/>
  <c r="F352" i="20"/>
  <c r="AY9" i="8"/>
  <c r="E353" i="20"/>
  <c r="AY23" i="22" l="1"/>
  <c r="AY10" i="8"/>
  <c r="F353" i="20"/>
  <c r="E354" i="20"/>
  <c r="AY67" i="9"/>
  <c r="AX67" i="9"/>
  <c r="AW67" i="9"/>
  <c r="AV67" i="9"/>
  <c r="AU67" i="9"/>
  <c r="AU75" i="9"/>
  <c r="AU76" i="9" s="1"/>
  <c r="AU70" i="9" s="1"/>
  <c r="AY50" i="9"/>
  <c r="AX50" i="9"/>
  <c r="AW50" i="9"/>
  <c r="AU50" i="9"/>
  <c r="AV50" i="9"/>
  <c r="AY26" i="22" l="1"/>
  <c r="AY44" i="40" s="1" a="1"/>
  <c r="AY44" i="40" s="1"/>
  <c r="F354" i="20"/>
  <c r="E355" i="20"/>
  <c r="AU58" i="9"/>
  <c r="AU59" i="9" s="1"/>
  <c r="AU53" i="9" s="1"/>
  <c r="AY63" i="40" l="1"/>
  <c r="F355" i="20"/>
  <c r="E356" i="20"/>
  <c r="F356" i="20" l="1"/>
  <c r="E357" i="20"/>
  <c r="F357" i="20" l="1"/>
  <c r="E358" i="20"/>
  <c r="F358" i="20" l="1"/>
  <c r="E359" i="20"/>
  <c r="F359" i="20" l="1"/>
  <c r="E360" i="20"/>
  <c r="F360" i="20" l="1"/>
  <c r="E361" i="20"/>
  <c r="F361" i="20" l="1"/>
  <c r="E362" i="20"/>
  <c r="F362" i="20" l="1"/>
  <c r="E363" i="20"/>
  <c r="AW165" i="15" l="1"/>
  <c r="AW171" i="15" s="1"/>
  <c r="F363" i="20"/>
  <c r="E364" i="20"/>
  <c r="AW16" i="8" l="1"/>
  <c r="AW16" i="11"/>
  <c r="AW242" i="27"/>
  <c r="F364" i="20"/>
  <c r="E365" i="20"/>
  <c r="F365" i="20" l="1"/>
  <c r="E366" i="20"/>
  <c r="F366" i="20" l="1"/>
  <c r="E367" i="20"/>
  <c r="F367" i="20" l="1"/>
  <c r="E368" i="20"/>
  <c r="F368" i="20" l="1"/>
  <c r="E369" i="20"/>
  <c r="F369" i="20" l="1"/>
  <c r="E370" i="20"/>
  <c r="F370" i="20" l="1"/>
  <c r="E371" i="20"/>
  <c r="F371" i="20" l="1"/>
  <c r="E372" i="20"/>
  <c r="F372" i="20" l="1"/>
  <c r="E373" i="20"/>
  <c r="F373" i="20" l="1"/>
  <c r="E374" i="20"/>
  <c r="F374" i="20" l="1"/>
  <c r="E375" i="20"/>
  <c r="AX165" i="15" l="1"/>
  <c r="AX171" i="15" s="1"/>
  <c r="F375" i="20"/>
  <c r="E376" i="20"/>
  <c r="AX242" i="27" l="1"/>
  <c r="AX16" i="8"/>
  <c r="AX16" i="11"/>
  <c r="F376" i="20"/>
  <c r="E377" i="20"/>
  <c r="F377" i="20" l="1"/>
  <c r="E378" i="20"/>
  <c r="F378" i="20" l="1"/>
  <c r="E379" i="20"/>
  <c r="F379" i="20" l="1"/>
  <c r="E380" i="20"/>
  <c r="F380" i="20" l="1"/>
  <c r="E381" i="20"/>
  <c r="F381" i="20" l="1"/>
  <c r="E382" i="20"/>
  <c r="F382" i="20" l="1"/>
  <c r="E383" i="20"/>
  <c r="F383" i="20" l="1"/>
  <c r="E384" i="20"/>
  <c r="F384" i="20" l="1"/>
  <c r="E385" i="20"/>
  <c r="F385" i="20" l="1"/>
  <c r="AT161" i="15"/>
  <c r="AU161" i="15"/>
  <c r="AV161" i="15"/>
  <c r="AW161" i="15"/>
  <c r="AX161" i="15"/>
  <c r="AY161" i="15"/>
  <c r="AT162" i="15" l="1"/>
  <c r="AY165" i="15"/>
  <c r="AY171" i="15" s="1"/>
  <c r="AT164" i="15"/>
  <c r="AU164" i="15"/>
  <c r="AU166" i="15" s="1"/>
  <c r="AU170" i="15" s="1"/>
  <c r="AV164" i="15"/>
  <c r="AV166" i="15" s="1"/>
  <c r="AV170" i="15" s="1"/>
  <c r="AW164" i="15"/>
  <c r="AW166" i="15" s="1"/>
  <c r="AW170" i="15" s="1"/>
  <c r="AW53" i="13" s="1"/>
  <c r="AX164" i="15"/>
  <c r="AX166" i="15" s="1"/>
  <c r="AX170" i="15" s="1"/>
  <c r="AY164" i="15"/>
  <c r="AY166" i="15" s="1"/>
  <c r="AY170" i="15" s="1"/>
  <c r="AU162" i="15"/>
  <c r="AU180" i="15" s="1"/>
  <c r="AY162" i="15"/>
  <c r="AY180" i="15" s="1"/>
  <c r="AV162" i="15"/>
  <c r="AV180" i="15" s="1"/>
  <c r="AX162" i="15"/>
  <c r="AX180" i="15" s="1"/>
  <c r="AW162" i="15"/>
  <c r="AT170" i="15"/>
  <c r="AT167" i="15"/>
  <c r="AY53" i="25" l="1"/>
  <c r="AY52" i="25"/>
  <c r="AX53" i="25"/>
  <c r="AX52" i="25"/>
  <c r="AW53" i="25"/>
  <c r="AW52" i="25"/>
  <c r="AV52" i="25"/>
  <c r="AV53" i="25"/>
  <c r="AU53" i="25"/>
  <c r="AU52" i="25"/>
  <c r="AY48" i="25"/>
  <c r="AY47" i="25"/>
  <c r="AY51" i="25"/>
  <c r="AY54" i="25" s="1"/>
  <c r="AY60" i="25" s="1"/>
  <c r="AY46" i="25"/>
  <c r="AW43" i="11"/>
  <c r="AW46" i="25"/>
  <c r="AW48" i="25"/>
  <c r="AW47" i="25"/>
  <c r="AW51" i="25"/>
  <c r="AV43" i="11"/>
  <c r="AV46" i="25"/>
  <c r="AV48" i="25"/>
  <c r="AV47" i="25"/>
  <c r="AV51" i="25"/>
  <c r="AX48" i="25"/>
  <c r="AX47" i="25"/>
  <c r="AX46" i="25"/>
  <c r="AX51" i="25"/>
  <c r="AU43" i="11"/>
  <c r="AU51" i="25"/>
  <c r="AU46" i="25"/>
  <c r="AU48" i="25"/>
  <c r="AU47" i="25"/>
  <c r="AY211" i="27"/>
  <c r="AX44" i="11"/>
  <c r="AV44" i="25"/>
  <c r="AU38" i="25"/>
  <c r="AX218" i="27"/>
  <c r="AW167" i="15"/>
  <c r="AW202" i="15" s="1"/>
  <c r="AW138" i="25" s="1"/>
  <c r="AW8" i="34" s="1"/>
  <c r="AU43" i="25"/>
  <c r="AW269" i="27"/>
  <c r="AX211" i="27"/>
  <c r="AU40" i="25"/>
  <c r="AW270" i="27"/>
  <c r="AY40" i="25"/>
  <c r="AX39" i="25"/>
  <c r="AX43" i="25"/>
  <c r="AV269" i="27"/>
  <c r="AW218" i="27"/>
  <c r="AU44" i="11"/>
  <c r="AW44" i="11"/>
  <c r="AV44" i="11"/>
  <c r="AW40" i="25"/>
  <c r="AX167" i="15"/>
  <c r="AX202" i="15" s="1"/>
  <c r="AX276" i="15" s="1"/>
  <c r="AX8" i="33" s="1"/>
  <c r="AY44" i="11"/>
  <c r="AX269" i="27"/>
  <c r="AY45" i="25"/>
  <c r="AX38" i="25"/>
  <c r="AV45" i="25"/>
  <c r="AW43" i="25"/>
  <c r="AY38" i="25"/>
  <c r="AV167" i="15"/>
  <c r="AV202" i="15" s="1"/>
  <c r="AV276" i="15" s="1"/>
  <c r="AV8" i="33" s="1"/>
  <c r="AW211" i="27"/>
  <c r="AW45" i="25"/>
  <c r="AV43" i="25"/>
  <c r="AW44" i="25"/>
  <c r="AY44" i="25"/>
  <c r="AU39" i="25"/>
  <c r="AV40" i="25"/>
  <c r="AW38" i="25"/>
  <c r="AV211" i="27"/>
  <c r="AV218" i="27"/>
  <c r="AW39" i="25"/>
  <c r="AV270" i="27"/>
  <c r="AY167" i="15"/>
  <c r="AY202" i="15" s="1"/>
  <c r="AY276" i="15" s="1"/>
  <c r="AY8" i="33" s="1"/>
  <c r="AU211" i="27"/>
  <c r="AU270" i="27"/>
  <c r="AU44" i="25"/>
  <c r="AX45" i="25"/>
  <c r="AY269" i="27"/>
  <c r="AV39" i="25"/>
  <c r="AU167" i="15"/>
  <c r="AU202" i="15" s="1"/>
  <c r="AU276" i="15" s="1"/>
  <c r="AU218" i="27"/>
  <c r="AY218" i="27"/>
  <c r="AU269" i="27"/>
  <c r="AU45" i="25"/>
  <c r="AX44" i="25"/>
  <c r="AX40" i="25"/>
  <c r="AY270" i="27"/>
  <c r="AY43" i="25"/>
  <c r="AY39" i="25"/>
  <c r="AV38" i="25"/>
  <c r="AX270" i="27"/>
  <c r="AY40" i="13"/>
  <c r="AU40" i="13"/>
  <c r="AX40" i="13"/>
  <c r="AY242" i="27"/>
  <c r="AY16" i="8"/>
  <c r="AV40" i="13"/>
  <c r="AW40" i="13"/>
  <c r="AW180" i="15"/>
  <c r="AW29" i="13" s="1"/>
  <c r="AW82" i="13" s="1"/>
  <c r="AT211" i="27"/>
  <c r="AT84" i="9"/>
  <c r="AT91" i="9"/>
  <c r="AT218" i="27"/>
  <c r="AY16" i="11"/>
  <c r="AT206" i="15"/>
  <c r="AU13" i="33"/>
  <c r="AU13" i="34"/>
  <c r="AV13" i="33"/>
  <c r="AV13" i="34"/>
  <c r="AW13" i="33"/>
  <c r="AW13" i="34"/>
  <c r="AY13" i="33"/>
  <c r="AY13" i="34"/>
  <c r="AX13" i="33"/>
  <c r="AX13" i="34"/>
  <c r="AW106" i="15"/>
  <c r="AW50" i="13"/>
  <c r="AU29" i="13"/>
  <c r="AV29" i="13"/>
  <c r="AV82" i="13" s="1"/>
  <c r="AY29" i="13"/>
  <c r="AX29" i="13"/>
  <c r="AX82" i="13" s="1"/>
  <c r="AW105" i="15"/>
  <c r="AU257" i="27"/>
  <c r="AU33" i="25"/>
  <c r="AU178" i="27"/>
  <c r="AU179" i="27" s="1"/>
  <c r="AU187" i="27" s="1"/>
  <c r="AU188" i="27" s="1"/>
  <c r="AU189" i="27" s="1"/>
  <c r="AU190" i="27" s="1"/>
  <c r="AV185" i="27" s="1"/>
  <c r="AV186" i="27" s="1"/>
  <c r="AV180" i="27" s="1"/>
  <c r="AU103" i="15"/>
  <c r="AU310" i="27"/>
  <c r="AU107" i="15"/>
  <c r="AW48" i="13"/>
  <c r="AX48" i="13"/>
  <c r="AX108" i="15"/>
  <c r="AX33" i="25"/>
  <c r="AX103" i="15"/>
  <c r="AX195" i="27"/>
  <c r="AX196" i="27" s="1"/>
  <c r="AX204" i="27" s="1"/>
  <c r="AX43" i="11"/>
  <c r="AX107" i="15"/>
  <c r="AX105" i="15"/>
  <c r="AX53" i="13"/>
  <c r="AX34" i="25"/>
  <c r="AX50" i="13"/>
  <c r="AX257" i="27"/>
  <c r="AX178" i="27"/>
  <c r="AX179" i="27" s="1"/>
  <c r="AX187" i="27" s="1"/>
  <c r="AX102" i="15"/>
  <c r="AX310" i="27"/>
  <c r="AX31" i="11"/>
  <c r="AX106" i="15"/>
  <c r="AV102" i="15"/>
  <c r="AV48" i="13"/>
  <c r="AV310" i="27"/>
  <c r="AV106" i="15"/>
  <c r="AV107" i="15"/>
  <c r="AV53" i="13"/>
  <c r="AV105" i="15"/>
  <c r="AV33" i="25"/>
  <c r="AV103" i="15"/>
  <c r="AV31" i="11"/>
  <c r="AV108" i="15"/>
  <c r="AV178" i="27"/>
  <c r="AV179" i="27" s="1"/>
  <c r="AV187" i="27" s="1"/>
  <c r="AV257" i="27"/>
  <c r="AV195" i="27"/>
  <c r="AV196" i="27" s="1"/>
  <c r="AV204" i="27" s="1"/>
  <c r="AV34" i="25"/>
  <c r="AV50" i="13"/>
  <c r="AU53" i="13"/>
  <c r="AU31" i="11"/>
  <c r="AV12" i="8"/>
  <c r="AV93" i="27"/>
  <c r="AU12" i="8"/>
  <c r="AU93" i="27"/>
  <c r="AU34" i="25"/>
  <c r="AU106" i="15"/>
  <c r="AU108" i="15"/>
  <c r="AU105" i="15"/>
  <c r="AU102" i="15"/>
  <c r="AU195" i="27"/>
  <c r="AU196" i="27" s="1"/>
  <c r="AU204" i="27" s="1"/>
  <c r="AU205" i="27" s="1"/>
  <c r="AU206" i="27" s="1"/>
  <c r="AU50" i="13"/>
  <c r="AU48" i="13"/>
  <c r="AT12" i="8"/>
  <c r="AT93" i="27"/>
  <c r="AW12" i="8"/>
  <c r="AW93" i="27"/>
  <c r="AW34" i="25"/>
  <c r="AW102" i="15"/>
  <c r="AW108" i="15"/>
  <c r="AW33" i="25"/>
  <c r="AW103" i="15"/>
  <c r="AW310" i="27"/>
  <c r="AW257" i="27"/>
  <c r="AW195" i="27"/>
  <c r="AW196" i="27" s="1"/>
  <c r="AW204" i="27" s="1"/>
  <c r="AW107" i="15"/>
  <c r="AW178" i="27"/>
  <c r="AW179" i="27" s="1"/>
  <c r="AW187" i="27" s="1"/>
  <c r="AW31" i="11"/>
  <c r="AY12" i="8"/>
  <c r="AY93" i="27"/>
  <c r="AY257" i="27"/>
  <c r="AY43" i="11"/>
  <c r="AY48" i="13"/>
  <c r="AY103" i="15"/>
  <c r="AY53" i="13"/>
  <c r="AY195" i="27"/>
  <c r="AY196" i="27" s="1"/>
  <c r="AY204" i="27" s="1"/>
  <c r="AY310" i="27"/>
  <c r="AY105" i="15"/>
  <c r="AY106" i="15"/>
  <c r="AY33" i="25"/>
  <c r="AY178" i="27"/>
  <c r="AY179" i="27" s="1"/>
  <c r="AY187" i="27" s="1"/>
  <c r="AY34" i="25"/>
  <c r="AY31" i="11"/>
  <c r="AY50" i="13"/>
  <c r="AY102" i="15"/>
  <c r="AY108" i="15"/>
  <c r="AY107" i="15"/>
  <c r="AX12" i="8"/>
  <c r="AX93" i="27"/>
  <c r="AV17" i="8"/>
  <c r="AV44" i="8" s="1"/>
  <c r="AV45" i="8" s="1"/>
  <c r="AW17" i="8"/>
  <c r="AW44" i="8" s="1"/>
  <c r="AW45" i="8" s="1"/>
  <c r="AY17" i="8"/>
  <c r="AY44" i="8" s="1"/>
  <c r="AY45" i="8" s="1"/>
  <c r="AX17" i="8"/>
  <c r="AX44" i="8" s="1"/>
  <c r="AX45" i="8" s="1"/>
  <c r="AU96" i="27"/>
  <c r="AU17" i="8"/>
  <c r="AY96" i="27"/>
  <c r="AY120" i="27" s="1"/>
  <c r="AW96" i="27"/>
  <c r="AW120" i="27" s="1"/>
  <c r="AV96" i="27"/>
  <c r="AV120" i="27" s="1"/>
  <c r="AX96" i="27"/>
  <c r="AX120" i="27" s="1"/>
  <c r="D93" i="27" a="1"/>
  <c r="D40" i="13" a="1"/>
  <c r="D13" i="34" a="1"/>
  <c r="D96" i="27" a="1"/>
  <c r="D12" i="8" a="1"/>
  <c r="D29" i="13" a="1"/>
  <c r="D13" i="33" a="1"/>
  <c r="D17" i="8" a="1"/>
  <c r="AX54" i="25" l="1"/>
  <c r="AX60" i="25" s="1"/>
  <c r="AV35" i="25"/>
  <c r="AU35" i="25"/>
  <c r="AW35" i="25"/>
  <c r="AX35" i="25"/>
  <c r="AV110" i="15"/>
  <c r="AY110" i="15"/>
  <c r="AU110" i="15"/>
  <c r="AY35" i="25"/>
  <c r="AW110" i="15"/>
  <c r="AX110" i="15"/>
  <c r="AV66" i="25"/>
  <c r="AV16" i="38" s="1"/>
  <c r="AV31" i="38" s="1"/>
  <c r="AU54" i="25"/>
  <c r="AU60" i="25" s="1"/>
  <c r="AV54" i="25"/>
  <c r="AV60" i="25" s="1"/>
  <c r="AW54" i="25"/>
  <c r="AW60" i="25" s="1"/>
  <c r="AW49" i="25"/>
  <c r="AU49" i="25"/>
  <c r="AY49" i="25"/>
  <c r="AX49" i="25"/>
  <c r="AV49" i="25"/>
  <c r="AW66" i="25"/>
  <c r="AW16" i="38" s="1"/>
  <c r="AW31" i="38" s="1"/>
  <c r="AX66" i="25"/>
  <c r="AX16" i="38" s="1"/>
  <c r="AX31" i="38" s="1"/>
  <c r="AU66" i="25"/>
  <c r="AU16" i="38" s="1"/>
  <c r="AY66" i="25"/>
  <c r="AY16" i="38" s="1"/>
  <c r="AY31" i="38" s="1"/>
  <c r="AX15" i="29"/>
  <c r="AV15" i="29"/>
  <c r="AW15" i="29"/>
  <c r="AU15" i="29"/>
  <c r="AY15" i="29"/>
  <c r="AJ39" i="40" a="1"/>
  <c r="AJ39" i="40" s="1"/>
  <c r="AJ58" i="40"/>
  <c r="AE39" i="40" a="1"/>
  <c r="AE39" i="40" s="1"/>
  <c r="AE58" i="40"/>
  <c r="AU25" i="8"/>
  <c r="AU22" i="13" s="1"/>
  <c r="AT45" i="40" a="1"/>
  <c r="AT45" i="40" s="1"/>
  <c r="AT64" i="40"/>
  <c r="AI39" i="40" a="1"/>
  <c r="AI39" i="40" s="1"/>
  <c r="AI58" i="40"/>
  <c r="AK58" i="40"/>
  <c r="AK39" i="40" a="1"/>
  <c r="AK39" i="40" s="1"/>
  <c r="AF58" i="40"/>
  <c r="AF39" i="40" a="1"/>
  <c r="AF39" i="40" s="1"/>
  <c r="AM58" i="40"/>
  <c r="AM39" i="40" a="1"/>
  <c r="AM39" i="40" s="1"/>
  <c r="AR58" i="40"/>
  <c r="AR39" i="40" a="1"/>
  <c r="AR39" i="40" s="1"/>
  <c r="AB39" i="40" a="1"/>
  <c r="AB39" i="40" s="1"/>
  <c r="AB58" i="40"/>
  <c r="AL39" i="40" a="1"/>
  <c r="AL39" i="40" s="1"/>
  <c r="AL58" i="40"/>
  <c r="AG58" i="40"/>
  <c r="AG39" i="40" a="1"/>
  <c r="AG39" i="40" s="1"/>
  <c r="X58" i="40"/>
  <c r="X39" i="40" a="1"/>
  <c r="X39" i="40" s="1"/>
  <c r="AT65" i="40"/>
  <c r="AT46" i="40" a="1"/>
  <c r="AT46" i="40" s="1"/>
  <c r="AA39" i="40" a="1"/>
  <c r="AA39" i="40" s="1"/>
  <c r="AA58" i="40"/>
  <c r="AS39" i="40" a="1"/>
  <c r="AS39" i="40" s="1"/>
  <c r="AS58" i="40"/>
  <c r="AN39" i="40" a="1"/>
  <c r="AN39" i="40" s="1"/>
  <c r="AN58" i="40"/>
  <c r="AC39" i="40" a="1"/>
  <c r="AC39" i="40" s="1"/>
  <c r="AC58" i="40"/>
  <c r="Z39" i="40" a="1"/>
  <c r="Z39" i="40" s="1"/>
  <c r="Z58" i="40"/>
  <c r="Y58" i="40"/>
  <c r="Y39" i="40" a="1"/>
  <c r="Y39" i="40" s="1"/>
  <c r="AH58" i="40"/>
  <c r="AH39" i="40" a="1"/>
  <c r="AH39" i="40" s="1"/>
  <c r="AD58" i="40"/>
  <c r="AD39" i="40" a="1"/>
  <c r="AD39" i="40" s="1"/>
  <c r="AO39" i="40" a="1"/>
  <c r="AO39" i="40" s="1"/>
  <c r="AO58" i="40"/>
  <c r="AQ39" i="40" a="1"/>
  <c r="AQ39" i="40" s="1"/>
  <c r="AQ58" i="40"/>
  <c r="AP58" i="40"/>
  <c r="AP39" i="40" a="1"/>
  <c r="AP39" i="40" s="1"/>
  <c r="AY220" i="27"/>
  <c r="AY227" i="27" s="1"/>
  <c r="AX220" i="27"/>
  <c r="AX227" i="27" s="1"/>
  <c r="AW220" i="27"/>
  <c r="AW227" i="27" s="1"/>
  <c r="AV220" i="27"/>
  <c r="AV227" i="27" s="1"/>
  <c r="AU220" i="27"/>
  <c r="AU227" i="27" s="1"/>
  <c r="AU93" i="9"/>
  <c r="AU100" i="9" s="1"/>
  <c r="AU86" i="9"/>
  <c r="AV213" i="27"/>
  <c r="AV226" i="27" s="1"/>
  <c r="AU213" i="27"/>
  <c r="AY213" i="27"/>
  <c r="AY226" i="27" s="1"/>
  <c r="AX213" i="27"/>
  <c r="AX226" i="27" s="1"/>
  <c r="AW213" i="27"/>
  <c r="AW226" i="27" s="1"/>
  <c r="AY206" i="15"/>
  <c r="AY210" i="15" s="1"/>
  <c r="AY94" i="27" s="1"/>
  <c r="AU206" i="15"/>
  <c r="AU210" i="15" s="1"/>
  <c r="AU14" i="8" s="1"/>
  <c r="AW206" i="15"/>
  <c r="AW210" i="15" s="1"/>
  <c r="AW94" i="27" s="1"/>
  <c r="AU104" i="27"/>
  <c r="AX206" i="15"/>
  <c r="AX210" i="15" s="1"/>
  <c r="AX94" i="27" s="1"/>
  <c r="AV206" i="15"/>
  <c r="AV210" i="15" s="1"/>
  <c r="AV14" i="8" s="1"/>
  <c r="D40" i="13"/>
  <c r="AU8" i="33"/>
  <c r="AW277" i="15" a="1"/>
  <c r="AW277" i="15" s="1"/>
  <c r="AV277" i="15" a="1"/>
  <c r="AV277" i="15" s="1"/>
  <c r="AY82" i="13"/>
  <c r="AT207" i="15"/>
  <c r="D13" i="34"/>
  <c r="D13" i="33"/>
  <c r="AW276" i="15"/>
  <c r="AW8" i="33" s="1"/>
  <c r="AX138" i="25"/>
  <c r="AX8" i="34" s="1"/>
  <c r="AY138" i="25"/>
  <c r="AY8" i="34" s="1"/>
  <c r="AU138" i="25"/>
  <c r="AV138" i="25"/>
  <c r="AV8" i="34" s="1"/>
  <c r="D29" i="13"/>
  <c r="AU82" i="13"/>
  <c r="AU212" i="27"/>
  <c r="AU181" i="27"/>
  <c r="AU182" i="27" s="1"/>
  <c r="AU224" i="27" s="1"/>
  <c r="AY41" i="25"/>
  <c r="AY58" i="25" s="1"/>
  <c r="D96" i="27"/>
  <c r="AU120" i="27"/>
  <c r="AX41" i="25"/>
  <c r="AX58" i="25" s="1"/>
  <c r="AW41" i="25"/>
  <c r="AW58" i="25" s="1"/>
  <c r="AU198" i="27"/>
  <c r="AU199" i="27" s="1"/>
  <c r="AU225" i="27" s="1"/>
  <c r="AU207" i="27"/>
  <c r="AV202" i="27" s="1"/>
  <c r="AV203" i="27" s="1"/>
  <c r="AV197" i="27" s="1"/>
  <c r="AV41" i="25"/>
  <c r="AV58" i="25" s="1"/>
  <c r="AU41" i="25"/>
  <c r="AU58" i="25" s="1"/>
  <c r="D12" i="8"/>
  <c r="D17" i="8"/>
  <c r="D93" i="27"/>
  <c r="AU219" i="27"/>
  <c r="AU44" i="8"/>
  <c r="AU45" i="8" s="1"/>
  <c r="AV188" i="27"/>
  <c r="D14" i="8" a="1"/>
  <c r="D16" i="38" a="1"/>
  <c r="D8" i="33" a="1"/>
  <c r="AU23" i="13" l="1"/>
  <c r="AU70" i="13" s="1"/>
  <c r="AU44" i="13" s="1"/>
  <c r="D16" i="38"/>
  <c r="AU31" i="38"/>
  <c r="AW8" i="9"/>
  <c r="AW37" i="9" s="1"/>
  <c r="AU8" i="9"/>
  <c r="AU37" i="9" s="1"/>
  <c r="AV10" i="12"/>
  <c r="AX8" i="9"/>
  <c r="AX37" i="9" s="1"/>
  <c r="AW14" i="8"/>
  <c r="AU94" i="27"/>
  <c r="AY14" i="8"/>
  <c r="AX14" i="8"/>
  <c r="AV94" i="27"/>
  <c r="AU99" i="9"/>
  <c r="AU226" i="27"/>
  <c r="AU228" i="27" s="1"/>
  <c r="AU239" i="27" s="1"/>
  <c r="AU261" i="27" s="1"/>
  <c r="D14" i="8"/>
  <c r="AX277" i="15" a="1"/>
  <c r="AX277" i="15" s="1"/>
  <c r="AY277" i="15" a="1"/>
  <c r="AY277" i="15" s="1"/>
  <c r="D8" i="33"/>
  <c r="AY139" i="25" a="1"/>
  <c r="AY139" i="25" s="1"/>
  <c r="AY147" i="25" s="1"/>
  <c r="AX139" i="25" a="1"/>
  <c r="AX139" i="25" s="1"/>
  <c r="AX147" i="25" s="1"/>
  <c r="AW139" i="25" a="1"/>
  <c r="AW139" i="25" s="1"/>
  <c r="AV139" i="25" a="1"/>
  <c r="AV139" i="25" s="1"/>
  <c r="AV147" i="25" s="1"/>
  <c r="AU221" i="27"/>
  <c r="AT58" i="40"/>
  <c r="AU214" i="27"/>
  <c r="AU207" i="15"/>
  <c r="AU8" i="34"/>
  <c r="AV14" i="13"/>
  <c r="AV52" i="13" s="1"/>
  <c r="AX10" i="29"/>
  <c r="AU14" i="13"/>
  <c r="AU52" i="13" s="1"/>
  <c r="AX14" i="13"/>
  <c r="AX52" i="13" s="1"/>
  <c r="AX134" i="27"/>
  <c r="AX10" i="12"/>
  <c r="AU10" i="29"/>
  <c r="AU134" i="27"/>
  <c r="AV205" i="27"/>
  <c r="AV206" i="27" s="1"/>
  <c r="AX13" i="13"/>
  <c r="AX51" i="13" s="1"/>
  <c r="AV8" i="9"/>
  <c r="AV13" i="13"/>
  <c r="AV51" i="13" s="1"/>
  <c r="AU10" i="12"/>
  <c r="AU13" i="13"/>
  <c r="AU51" i="13" s="1"/>
  <c r="AV134" i="27"/>
  <c r="AV10" i="29"/>
  <c r="AW10" i="12"/>
  <c r="AW13" i="13"/>
  <c r="AW51" i="13" s="1"/>
  <c r="AY10" i="12"/>
  <c r="AY8" i="9"/>
  <c r="AY13" i="13"/>
  <c r="AY51" i="13" s="1"/>
  <c r="AW10" i="29"/>
  <c r="AW134" i="27"/>
  <c r="AW14" i="13"/>
  <c r="AW52" i="13" s="1"/>
  <c r="AY14" i="13"/>
  <c r="AY52" i="13" s="1"/>
  <c r="AY10" i="29"/>
  <c r="AY134" i="27"/>
  <c r="AU200" i="27"/>
  <c r="AV193" i="27" s="1"/>
  <c r="AU183" i="27"/>
  <c r="AV176" i="27" s="1"/>
  <c r="AV189" i="27"/>
  <c r="AV190" i="27" s="1"/>
  <c r="AW185" i="27" s="1"/>
  <c r="D14" i="13" a="1"/>
  <c r="D8" i="9" a="1"/>
  <c r="D134" i="27" a="1"/>
  <c r="D8" i="34" a="1"/>
  <c r="D94" i="27" a="1"/>
  <c r="D13" i="13" a="1"/>
  <c r="AW143" i="25" l="1"/>
  <c r="AW147" i="25"/>
  <c r="AV143" i="25"/>
  <c r="AV149" i="25" s="1"/>
  <c r="AV20" i="34" s="1"/>
  <c r="AV59" i="34" s="1"/>
  <c r="AY143" i="25"/>
  <c r="AY149" i="25" s="1"/>
  <c r="AY20" i="34" s="1"/>
  <c r="AY59" i="34" s="1"/>
  <c r="AX143" i="25"/>
  <c r="AX149" i="25" s="1"/>
  <c r="AX20" i="34" s="1"/>
  <c r="AX59" i="34" s="1"/>
  <c r="D8" i="9"/>
  <c r="D94" i="27"/>
  <c r="AT39" i="40" a="1"/>
  <c r="AT39" i="40" s="1"/>
  <c r="AV217" i="27"/>
  <c r="AV219" i="27" s="1"/>
  <c r="AV221" i="27" s="1"/>
  <c r="AW217" i="27" s="1"/>
  <c r="AW219" i="27" s="1"/>
  <c r="AW221" i="27" s="1"/>
  <c r="AX217" i="27" s="1"/>
  <c r="AV210" i="27"/>
  <c r="AV207" i="15"/>
  <c r="AU209" i="15"/>
  <c r="AU20" i="34"/>
  <c r="AU59" i="34" s="1"/>
  <c r="AV37" i="9"/>
  <c r="AY37" i="9"/>
  <c r="D8" i="34"/>
  <c r="D14" i="13"/>
  <c r="D134" i="27"/>
  <c r="AV207" i="27"/>
  <c r="AW202" i="27" s="1"/>
  <c r="AW203" i="27" s="1"/>
  <c r="AW197" i="27" s="1"/>
  <c r="AV198" i="27"/>
  <c r="AV181" i="27"/>
  <c r="D13" i="13"/>
  <c r="AW186" i="27"/>
  <c r="AW180" i="27" s="1"/>
  <c r="D20" i="34" a="1"/>
  <c r="AW149" i="25" l="1"/>
  <c r="AW20" i="34" s="1"/>
  <c r="AW59" i="34" s="1"/>
  <c r="AU91" i="27"/>
  <c r="AV212" i="27"/>
  <c r="AV214" i="27" s="1"/>
  <c r="AW210" i="27" s="1"/>
  <c r="AU7" i="8"/>
  <c r="D20" i="34"/>
  <c r="AU49" i="27"/>
  <c r="AU7" i="32"/>
  <c r="AW207" i="15"/>
  <c r="AV209" i="15"/>
  <c r="AV91" i="27" s="1"/>
  <c r="AW205" i="27"/>
  <c r="AW206" i="27" s="1"/>
  <c r="AX219" i="27"/>
  <c r="AX221" i="27" s="1"/>
  <c r="AY217" i="27" s="1"/>
  <c r="AV199" i="27"/>
  <c r="AV225" i="27" s="1"/>
  <c r="AV182" i="27"/>
  <c r="AV224" i="27" s="1"/>
  <c r="AW188" i="27"/>
  <c r="AW189" i="27" s="1"/>
  <c r="I35" i="4"/>
  <c r="D91" i="27" a="1"/>
  <c r="D7" i="32" a="1"/>
  <c r="D7" i="8" a="1"/>
  <c r="D91" i="27" l="1"/>
  <c r="D7" i="32"/>
  <c r="I42" i="40" a="1"/>
  <c r="I42" i="40" s="1"/>
  <c r="I61" i="40"/>
  <c r="AW212" i="27"/>
  <c r="AW214" i="27" s="1"/>
  <c r="AX210" i="27" s="1"/>
  <c r="AV228" i="27"/>
  <c r="D7" i="8"/>
  <c r="AV49" i="27"/>
  <c r="AV7" i="32"/>
  <c r="AX207" i="15"/>
  <c r="AW209" i="15"/>
  <c r="AW91" i="27" s="1"/>
  <c r="AU53" i="27"/>
  <c r="AU54" i="27" s="1"/>
  <c r="AV7" i="8"/>
  <c r="AW207" i="27"/>
  <c r="AX202" i="27" s="1"/>
  <c r="AX203" i="27" s="1"/>
  <c r="AX197" i="27" s="1"/>
  <c r="AV200" i="27"/>
  <c r="AY219" i="27"/>
  <c r="AY221" i="27" s="1"/>
  <c r="AV183" i="27"/>
  <c r="AW190" i="27"/>
  <c r="AX185" i="27" s="1"/>
  <c r="AY207" i="15" l="1"/>
  <c r="AV239" i="27"/>
  <c r="AV261" i="27" s="1"/>
  <c r="AX212" i="27"/>
  <c r="AX214" i="27" s="1"/>
  <c r="AY210" i="27" s="1"/>
  <c r="AW193" i="27"/>
  <c r="AW198" i="27" s="1"/>
  <c r="AW199" i="27" s="1"/>
  <c r="AW225" i="27" s="1"/>
  <c r="AW176" i="27"/>
  <c r="AW181" i="27" s="1"/>
  <c r="AW182" i="27" s="1"/>
  <c r="AW224" i="27" s="1"/>
  <c r="AW7" i="32"/>
  <c r="AW49" i="27"/>
  <c r="AX209" i="15"/>
  <c r="AX91" i="27" s="1"/>
  <c r="AW7" i="8"/>
  <c r="AU107" i="27"/>
  <c r="AV53" i="27"/>
  <c r="AV54" i="27" s="1"/>
  <c r="AV107" i="27" s="1"/>
  <c r="AX205" i="27"/>
  <c r="AX206" i="27" s="1"/>
  <c r="AX186" i="27"/>
  <c r="AY209" i="15" l="1"/>
  <c r="AY91" i="27" s="1"/>
  <c r="AY212" i="27"/>
  <c r="AY214" i="27" s="1"/>
  <c r="AW200" i="27"/>
  <c r="AW228" i="27"/>
  <c r="AW183" i="27"/>
  <c r="AX176" i="27" s="1"/>
  <c r="AX7" i="32"/>
  <c r="AX49" i="27"/>
  <c r="AX7" i="8"/>
  <c r="AW53" i="27"/>
  <c r="AW54" i="27" s="1"/>
  <c r="AW107" i="27" s="1"/>
  <c r="AX180" i="27"/>
  <c r="AX207" i="27"/>
  <c r="AY202" i="27" s="1"/>
  <c r="AY203" i="27" s="1"/>
  <c r="AY197" i="27" s="1"/>
  <c r="AX188" i="27"/>
  <c r="AX189" i="27" s="1"/>
  <c r="AX190" i="27" s="1"/>
  <c r="AY185" i="27" s="1"/>
  <c r="AY7" i="32" l="1"/>
  <c r="AY7" i="8"/>
  <c r="AY49" i="27"/>
  <c r="AY53" i="27" s="1"/>
  <c r="AY54" i="27" s="1"/>
  <c r="AW239" i="27"/>
  <c r="AW261" i="27" s="1"/>
  <c r="AX193" i="27"/>
  <c r="AX198" i="27" s="1"/>
  <c r="AX181" i="27"/>
  <c r="AX182" i="27" s="1"/>
  <c r="AX224" i="27" s="1"/>
  <c r="AX53" i="27"/>
  <c r="AX54" i="27" s="1"/>
  <c r="AX107" i="27" s="1"/>
  <c r="AY205" i="27"/>
  <c r="AY206" i="27" s="1"/>
  <c r="AY186" i="27"/>
  <c r="I57" i="27" l="1" a="1"/>
  <c r="I57" i="27" s="1"/>
  <c r="I49" i="40" s="1" a="1"/>
  <c r="I49" i="40" s="1"/>
  <c r="AY107" i="27"/>
  <c r="AX199" i="27"/>
  <c r="AX225" i="27" s="1"/>
  <c r="AX228" i="27" s="1"/>
  <c r="AX183" i="27"/>
  <c r="AY176" i="27" s="1"/>
  <c r="AY180" i="27"/>
  <c r="AY207" i="27"/>
  <c r="AY188" i="27"/>
  <c r="AY189" i="27" s="1"/>
  <c r="AY190" i="27" s="1"/>
  <c r="I68" i="40" l="1"/>
  <c r="AX239" i="27"/>
  <c r="AX261" i="27" s="1"/>
  <c r="AX200" i="27"/>
  <c r="AY193" i="27" s="1"/>
  <c r="AY198" i="27" s="1"/>
  <c r="AY199" i="27" s="1"/>
  <c r="AY225" i="27" s="1"/>
  <c r="AD83" i="27"/>
  <c r="AD77" i="27"/>
  <c r="AH72" i="27"/>
  <c r="AA63" i="27"/>
  <c r="AO82" i="27"/>
  <c r="AQ78" i="27"/>
  <c r="AJ76" i="27"/>
  <c r="AD84" i="27"/>
  <c r="AE65" i="27"/>
  <c r="AL76" i="27"/>
  <c r="AD80" i="27"/>
  <c r="AB83" i="27"/>
  <c r="AE69" i="27"/>
  <c r="AE78" i="27"/>
  <c r="AD64" i="27"/>
  <c r="AD66" i="27"/>
  <c r="AH70" i="27"/>
  <c r="AA75" i="27"/>
  <c r="AR83" i="27"/>
  <c r="AI78" i="27"/>
  <c r="AS84" i="27"/>
  <c r="AF65" i="27"/>
  <c r="AK71" i="27"/>
  <c r="AA83" i="27"/>
  <c r="AB84" i="27"/>
  <c r="Y71" i="27"/>
  <c r="AF83" i="27"/>
  <c r="AD67" i="27"/>
  <c r="AS80" i="27"/>
  <c r="Y73" i="27"/>
  <c r="AF75" i="27"/>
  <c r="AK76" i="27"/>
  <c r="Z79" i="27"/>
  <c r="AL82" i="27"/>
  <c r="AE81" i="27"/>
  <c r="AG82" i="27"/>
  <c r="AW83" i="27"/>
  <c r="AU84" i="27"/>
  <c r="AA61" i="27"/>
  <c r="AD74" i="27"/>
  <c r="AN76" i="27"/>
  <c r="AL74" i="27"/>
  <c r="AR77" i="27"/>
  <c r="AN80" i="27"/>
  <c r="AH84" i="27"/>
  <c r="X67" i="27"/>
  <c r="Y69" i="27"/>
  <c r="AF73" i="27"/>
  <c r="X72" i="27"/>
  <c r="AS79" i="27"/>
  <c r="AF82" i="27"/>
  <c r="AQ84" i="27"/>
  <c r="AA59" i="27"/>
  <c r="AB59" i="27" s="1"/>
  <c r="Y66" i="27"/>
  <c r="AL81" i="27"/>
  <c r="AG73" i="27"/>
  <c r="AJ79" i="27"/>
  <c r="AA84" i="27"/>
  <c r="AB65" i="27"/>
  <c r="X74" i="27"/>
  <c r="AN74" i="27"/>
  <c r="AB76" i="27"/>
  <c r="AF68" i="27"/>
  <c r="AA71" i="27"/>
  <c r="AA74" i="27"/>
  <c r="AC80" i="27"/>
  <c r="AC78" i="27"/>
  <c r="AC62" i="27"/>
  <c r="AS82" i="27"/>
  <c r="AA70" i="27"/>
  <c r="AA66" i="27"/>
  <c r="X70" i="27"/>
  <c r="AI71" i="27"/>
  <c r="AJ74" i="27"/>
  <c r="AM78" i="27"/>
  <c r="AC84" i="27"/>
  <c r="AD65" i="27"/>
  <c r="AB67" i="27"/>
  <c r="AB71" i="27"/>
  <c r="AI75" i="27"/>
  <c r="X69" i="27"/>
  <c r="AQ80" i="27"/>
  <c r="Y59" i="27"/>
  <c r="AE66" i="27"/>
  <c r="AD72" i="27"/>
  <c r="AB74" i="27"/>
  <c r="AH76" i="27"/>
  <c r="AJ78" i="27"/>
  <c r="AG79" i="27"/>
  <c r="AT81" i="27"/>
  <c r="AW84" i="27"/>
  <c r="AI81" i="27"/>
  <c r="AR84" i="27"/>
  <c r="AQ76" i="27"/>
  <c r="Z59" i="27"/>
  <c r="AI68" i="27"/>
  <c r="AB75" i="27"/>
  <c r="AD71" i="27"/>
  <c r="AV81" i="27"/>
  <c r="AF78" i="27"/>
  <c r="X81" i="27"/>
  <c r="Z63" i="27"/>
  <c r="AF81" i="27"/>
  <c r="AC70" i="27"/>
  <c r="AE74" i="27"/>
  <c r="Y78" i="27"/>
  <c r="AC77" i="27"/>
  <c r="AL83" i="27"/>
  <c r="AN82" i="27"/>
  <c r="AB60" i="27"/>
  <c r="Z80" i="27"/>
  <c r="AO74" i="27"/>
  <c r="AQ83" i="27"/>
  <c r="Y57" i="27"/>
  <c r="Y77" i="27"/>
  <c r="AB63" i="27"/>
  <c r="AL77" i="27"/>
  <c r="Z62" i="27"/>
  <c r="X61" i="27"/>
  <c r="X77" i="27"/>
  <c r="AE64" i="27"/>
  <c r="AF79" i="27"/>
  <c r="AT84" i="27"/>
  <c r="AG70" i="27"/>
  <c r="Z77" i="27"/>
  <c r="AH67" i="27"/>
  <c r="AJ83" i="27"/>
  <c r="AL73" i="27"/>
  <c r="AF71" i="27"/>
  <c r="Z74" i="27"/>
  <c r="AG75" i="27"/>
  <c r="AP77" i="27"/>
  <c r="AM81" i="27"/>
  <c r="Y67" i="27"/>
  <c r="AF70" i="27"/>
  <c r="AB72" i="27"/>
  <c r="Z75" i="27"/>
  <c r="AA79" i="27"/>
  <c r="X58" i="27"/>
  <c r="AC66" i="27"/>
  <c r="Y68" i="27"/>
  <c r="AJ71" i="27"/>
  <c r="AE76" i="27"/>
  <c r="AG71" i="27"/>
  <c r="AL79" i="27"/>
  <c r="AB81" i="27"/>
  <c r="AB82" i="27"/>
  <c r="AF84" i="27"/>
  <c r="Z64" i="27"/>
  <c r="AC65" i="27"/>
  <c r="X59" i="27"/>
  <c r="AB62" i="27"/>
  <c r="Z68" i="27"/>
  <c r="AD73" i="27"/>
  <c r="AM79" i="27"/>
  <c r="AL71" i="27"/>
  <c r="AC83" i="27"/>
  <c r="X57" i="27"/>
  <c r="AA76" i="27"/>
  <c r="AP84" i="27"/>
  <c r="AS83" i="27"/>
  <c r="Z60" i="27"/>
  <c r="AC75" i="27"/>
  <c r="X73" i="27"/>
  <c r="Y80" i="27"/>
  <c r="AK79" i="27"/>
  <c r="AY84" i="27"/>
  <c r="AH68" i="27"/>
  <c r="AK81" i="27"/>
  <c r="Y61" i="27"/>
  <c r="AT82" i="27"/>
  <c r="AA64" i="27"/>
  <c r="AD70" i="27"/>
  <c r="AH69" i="27"/>
  <c r="AC63" i="27"/>
  <c r="X79" i="27"/>
  <c r="AJ69" i="27"/>
  <c r="AC64" i="27"/>
  <c r="AG77" i="27"/>
  <c r="AK80" i="27"/>
  <c r="Y64" i="27"/>
  <c r="AD69" i="27"/>
  <c r="AV84" i="27"/>
  <c r="AC74" i="27"/>
  <c r="AD75" i="27"/>
  <c r="AF77" i="27"/>
  <c r="AK78" i="27"/>
  <c r="AT80" i="27"/>
  <c r="Y84" i="27"/>
  <c r="Y72" i="27"/>
  <c r="AH74" i="27"/>
  <c r="AO75" i="27"/>
  <c r="AD78" i="27"/>
  <c r="AU81" i="27"/>
  <c r="AG67" i="27"/>
  <c r="Z71" i="27"/>
  <c r="AJ72" i="27"/>
  <c r="AH75" i="27"/>
  <c r="AI79" i="27"/>
  <c r="AI70" i="27"/>
  <c r="Y82" i="27"/>
  <c r="AO83" i="27"/>
  <c r="AM84" i="27"/>
  <c r="X60" i="27"/>
  <c r="AM73" i="27"/>
  <c r="Y62" i="27"/>
  <c r="X68" i="27"/>
  <c r="AC69" i="27"/>
  <c r="AK72" i="27"/>
  <c r="AA77" i="27"/>
  <c r="AE67" i="27"/>
  <c r="AE72" i="27"/>
  <c r="X76" i="27"/>
  <c r="AN78" i="27"/>
  <c r="AE82" i="27"/>
  <c r="Z66" i="27"/>
  <c r="AH73" i="27"/>
  <c r="AC68" i="27"/>
  <c r="Y76" i="27"/>
  <c r="AK77" i="27"/>
  <c r="AG81" i="27"/>
  <c r="Z58" i="27"/>
  <c r="AA58" i="27" s="1"/>
  <c r="AG80" i="27"/>
  <c r="Z83" i="27"/>
  <c r="Z76" i="27"/>
  <c r="AC67" i="27"/>
  <c r="AJ75" i="27"/>
  <c r="AK75" i="27"/>
  <c r="AW82" i="27"/>
  <c r="AM77" i="27"/>
  <c r="Z78" i="27"/>
  <c r="AB66" i="27"/>
  <c r="AI72" i="27"/>
  <c r="AN79" i="27"/>
  <c r="AA80" i="27"/>
  <c r="Z61" i="27"/>
  <c r="AR82" i="27"/>
  <c r="AU80" i="27"/>
  <c r="Z72" i="27"/>
  <c r="AG66" i="27"/>
  <c r="AH78" i="27"/>
  <c r="AB80" i="27"/>
  <c r="AC81" i="27"/>
  <c r="AI83" i="27"/>
  <c r="AP82" i="27"/>
  <c r="AL75" i="27"/>
  <c r="AN77" i="27"/>
  <c r="AS78" i="27"/>
  <c r="AD81" i="27"/>
  <c r="AG84" i="27"/>
  <c r="AG72" i="27"/>
  <c r="X75" i="27"/>
  <c r="AC76" i="27"/>
  <c r="AL78" i="27"/>
  <c r="AD82" i="27"/>
  <c r="AE77" i="27"/>
  <c r="AJ84" i="27"/>
  <c r="AG74" i="27"/>
  <c r="AK84" i="27"/>
  <c r="AA68" i="27"/>
  <c r="AH83" i="27"/>
  <c r="Z69" i="27"/>
  <c r="AA72" i="27"/>
  <c r="AJ73" i="27"/>
  <c r="AD76" i="27"/>
  <c r="AE80" i="27"/>
  <c r="AB68" i="27"/>
  <c r="AJ77" i="27"/>
  <c r="Z84" i="27"/>
  <c r="AB79" i="27"/>
  <c r="X62" i="27"/>
  <c r="AX84" i="27"/>
  <c r="AF67" i="27"/>
  <c r="AF72" i="27"/>
  <c r="AG69" i="27"/>
  <c r="AN73" i="27"/>
  <c r="AO81" i="27"/>
  <c r="AT83" i="27"/>
  <c r="AV82" i="27"/>
  <c r="AR81" i="27"/>
  <c r="Z81" i="27"/>
  <c r="AP78" i="27"/>
  <c r="Y79" i="27"/>
  <c r="AH77" i="27"/>
  <c r="AE73" i="27"/>
  <c r="AG78" i="27"/>
  <c r="AI69" i="27"/>
  <c r="AF74" i="27"/>
  <c r="AL84" i="27"/>
  <c r="AK73" i="27"/>
  <c r="AQ82" i="27"/>
  <c r="AJ80" i="27"/>
  <c r="AO84" i="27"/>
  <c r="AN75" i="27"/>
  <c r="AR79" i="27"/>
  <c r="X71" i="27"/>
  <c r="Y74" i="27"/>
  <c r="AB69" i="27"/>
  <c r="AD63" i="27"/>
  <c r="AI73" i="27"/>
  <c r="AA82" i="27"/>
  <c r="AI74" i="27"/>
  <c r="Y75" i="27"/>
  <c r="AP79" i="27"/>
  <c r="AI77" i="27"/>
  <c r="X63" i="27"/>
  <c r="AM80" i="27"/>
  <c r="AM83" i="27"/>
  <c r="Y58" i="27"/>
  <c r="AA81" i="27"/>
  <c r="X66" i="27"/>
  <c r="AM75" i="27"/>
  <c r="AH81" i="27"/>
  <c r="Y83" i="27"/>
  <c r="AX83" i="27"/>
  <c r="AE79" i="27"/>
  <c r="AJ70" i="27"/>
  <c r="AD79" i="27"/>
  <c r="AR80" i="27"/>
  <c r="AS81" i="27"/>
  <c r="X84" i="27"/>
  <c r="Y63" i="27"/>
  <c r="AA60" i="27"/>
  <c r="AA67" i="27"/>
  <c r="AG68" i="27"/>
  <c r="AC72" i="27"/>
  <c r="AM76" i="27"/>
  <c r="Y65" i="27"/>
  <c r="AP76" i="27"/>
  <c r="AR78" i="27"/>
  <c r="AO79" i="27"/>
  <c r="AC82" i="27"/>
  <c r="AA69" i="27"/>
  <c r="AF76" i="27"/>
  <c r="X78" i="27"/>
  <c r="AB77" i="27"/>
  <c r="X80" i="27"/>
  <c r="AM82" i="27"/>
  <c r="AK83" i="27"/>
  <c r="AI80" i="27"/>
  <c r="AA65" i="27"/>
  <c r="AK70" i="27"/>
  <c r="AM74" i="27"/>
  <c r="AG76" i="27"/>
  <c r="Y81" i="27"/>
  <c r="AO80" i="27"/>
  <c r="AA73" i="27"/>
  <c r="AP83" i="27"/>
  <c r="Y60" i="27"/>
  <c r="AV83" i="27"/>
  <c r="AH79" i="27"/>
  <c r="AA78" i="27"/>
  <c r="AB64" i="27"/>
  <c r="AE83" i="27"/>
  <c r="AH80" i="27"/>
  <c r="AP80" i="27"/>
  <c r="AA62" i="27"/>
  <c r="Y70" i="27"/>
  <c r="AI82" i="27"/>
  <c r="AO77" i="27"/>
  <c r="AC73" i="27"/>
  <c r="Z73" i="27"/>
  <c r="AK82" i="27"/>
  <c r="AE75" i="27"/>
  <c r="Z70" i="27"/>
  <c r="AI76" i="27"/>
  <c r="X83" i="27"/>
  <c r="X65" i="27"/>
  <c r="AC71" i="27"/>
  <c r="AL80" i="27"/>
  <c r="AU83" i="27"/>
  <c r="Z67" i="27"/>
  <c r="Z82" i="27"/>
  <c r="AF66" i="27"/>
  <c r="X64" i="27"/>
  <c r="AP81" i="27"/>
  <c r="AG83" i="27"/>
  <c r="AE84" i="27"/>
  <c r="AH82" i="27"/>
  <c r="AM72" i="27"/>
  <c r="AD68" i="27"/>
  <c r="AH71" i="27"/>
  <c r="AB73" i="27"/>
  <c r="AP75" i="27"/>
  <c r="AQ79" i="27"/>
  <c r="AK74" i="27"/>
  <c r="AT79" i="27"/>
  <c r="AJ81" i="27"/>
  <c r="AJ82" i="27"/>
  <c r="AN84" i="27"/>
  <c r="Z65" i="27"/>
  <c r="AB70" i="27"/>
  <c r="AN81" i="27"/>
  <c r="AB61" i="27"/>
  <c r="AF80" i="27"/>
  <c r="AU82" i="27"/>
  <c r="AE70" i="27"/>
  <c r="AN83" i="27"/>
  <c r="AE71" i="27"/>
  <c r="AO76" i="27"/>
  <c r="AC79" i="27"/>
  <c r="AO78" i="27"/>
  <c r="AI84" i="27"/>
  <c r="AA57" i="27"/>
  <c r="AQ81" i="27"/>
  <c r="AQ77" i="27"/>
  <c r="AF69" i="27"/>
  <c r="AB78" i="27"/>
  <c r="AL72" i="27"/>
  <c r="AE68" i="27"/>
  <c r="X82" i="27"/>
  <c r="AC60" i="27"/>
  <c r="AB57" i="27"/>
  <c r="AB58" i="27"/>
  <c r="AC58" i="27" s="1"/>
  <c r="AD58" i="27" s="1"/>
  <c r="AC59" i="27"/>
  <c r="AD59" i="27" s="1"/>
  <c r="AF58" i="27"/>
  <c r="AG58" i="27" s="1"/>
  <c r="AD60" i="27"/>
  <c r="AE60" i="27" s="1"/>
  <c r="AE59" i="27"/>
  <c r="AE58" i="27"/>
  <c r="AF59" i="27"/>
  <c r="AG59" i="27" s="1"/>
  <c r="AH59" i="27" s="1"/>
  <c r="AI59" i="27" s="1"/>
  <c r="AJ59" i="27" s="1"/>
  <c r="AK59" i="27" s="1"/>
  <c r="AL59" i="27" s="1"/>
  <c r="AM59" i="27" s="1"/>
  <c r="AN59" i="27" s="1"/>
  <c r="AO59" i="27" s="1"/>
  <c r="AP59" i="27" s="1"/>
  <c r="AQ59" i="27" s="1"/>
  <c r="AR59" i="27" s="1"/>
  <c r="AS59" i="27" s="1"/>
  <c r="AT59" i="27" s="1"/>
  <c r="AU59" i="27" s="1"/>
  <c r="AV59" i="27" s="1"/>
  <c r="AW59" i="27" s="1"/>
  <c r="AX59" i="27" s="1"/>
  <c r="AY59" i="27" s="1"/>
  <c r="AC57" i="27"/>
  <c r="AE57" i="27"/>
  <c r="AD57" i="27"/>
  <c r="AH58" i="27"/>
  <c r="AI58" i="27" s="1"/>
  <c r="AJ58" i="27" s="1"/>
  <c r="AK58" i="27" s="1"/>
  <c r="AL58" i="27" s="1"/>
  <c r="AM58" i="27" s="1"/>
  <c r="AN58" i="27" s="1"/>
  <c r="AO58" i="27" s="1"/>
  <c r="AP58" i="27" s="1"/>
  <c r="AQ58" i="27" s="1"/>
  <c r="AF60" i="27"/>
  <c r="AG57" i="27"/>
  <c r="AF57" i="27"/>
  <c r="AR58" i="27"/>
  <c r="AS58" i="27" s="1"/>
  <c r="AT58" i="27" s="1"/>
  <c r="AU58" i="27" s="1"/>
  <c r="AV58" i="27" s="1"/>
  <c r="AW58" i="27" s="1"/>
  <c r="AX58" i="27" s="1"/>
  <c r="AY58" i="27" s="1"/>
  <c r="AG60" i="27"/>
  <c r="AH60" i="27" s="1"/>
  <c r="AI60" i="27" s="1"/>
  <c r="AH57" i="27"/>
  <c r="AJ60" i="27"/>
  <c r="AK60" i="27" s="1"/>
  <c r="AL60" i="27" s="1"/>
  <c r="AM60" i="27" s="1"/>
  <c r="AN60" i="27" s="1"/>
  <c r="AO60" i="27" s="1"/>
  <c r="AP60" i="27" s="1"/>
  <c r="AQ60" i="27" s="1"/>
  <c r="AR60" i="27" s="1"/>
  <c r="AS60" i="27" s="1"/>
  <c r="AT60" i="27" s="1"/>
  <c r="AU60" i="27" s="1"/>
  <c r="AV60" i="27" s="1"/>
  <c r="AW60" i="27" s="1"/>
  <c r="AX60" i="27" s="1"/>
  <c r="AY60" i="27" s="1"/>
  <c r="AI57" i="27"/>
  <c r="AJ57" i="27"/>
  <c r="AK57" i="27"/>
  <c r="AL57" i="27"/>
  <c r="AM57" i="27"/>
  <c r="AN57" i="27"/>
  <c r="AO57" i="27"/>
  <c r="AP57" i="27"/>
  <c r="AQ57" i="27"/>
  <c r="AR57" i="27"/>
  <c r="AS57" i="27"/>
  <c r="AT57" i="27"/>
  <c r="AU57" i="27"/>
  <c r="AV57" i="27"/>
  <c r="AW57" i="27"/>
  <c r="AX57" i="27"/>
  <c r="AY57" i="27"/>
  <c r="AY181" i="27"/>
  <c r="AY182" i="27" s="1"/>
  <c r="AY224" i="27" s="1"/>
  <c r="AY200" i="27" l="1"/>
  <c r="AY228" i="27"/>
  <c r="AY239" i="27" s="1"/>
  <c r="AY261" i="27" s="1"/>
  <c r="Z57" i="27"/>
  <c r="AR76" i="27"/>
  <c r="AS76" i="27" s="1"/>
  <c r="AT76" i="27" s="1"/>
  <c r="AT78" i="27"/>
  <c r="AU78" i="27" s="1"/>
  <c r="AV78" i="27" s="1"/>
  <c r="AU79" i="27"/>
  <c r="AV79" i="27" s="1"/>
  <c r="AW79" i="27" s="1"/>
  <c r="AX79" i="27" s="1"/>
  <c r="AY79" i="27" s="1"/>
  <c r="AQ75" i="27"/>
  <c r="AS77" i="27"/>
  <c r="AF64" i="27"/>
  <c r="AG64" i="27" s="1"/>
  <c r="AH64" i="27" s="1"/>
  <c r="AI67" i="27"/>
  <c r="AJ67" i="27" s="1"/>
  <c r="AK67" i="27" s="1"/>
  <c r="AC61" i="27"/>
  <c r="AD61" i="27" s="1"/>
  <c r="AE61" i="27" s="1"/>
  <c r="AF61" i="27" s="1"/>
  <c r="AG61" i="27" s="1"/>
  <c r="AH61" i="27" s="1"/>
  <c r="AI61" i="27" s="1"/>
  <c r="AX82" i="27"/>
  <c r="AY82" i="27" s="1"/>
  <c r="AH66" i="27"/>
  <c r="AI66" i="27" s="1"/>
  <c r="AN72" i="27"/>
  <c r="AO72" i="27" s="1"/>
  <c r="AP72" i="27" s="1"/>
  <c r="AQ72" i="27" s="1"/>
  <c r="AM71" i="27"/>
  <c r="AN71" i="27" s="1"/>
  <c r="AO71" i="27" s="1"/>
  <c r="AD62" i="27"/>
  <c r="AE62" i="27" s="1"/>
  <c r="AF62" i="27" s="1"/>
  <c r="AG62" i="27" s="1"/>
  <c r="AW81" i="27"/>
  <c r="AX81" i="27" s="1"/>
  <c r="AY81" i="27" s="1"/>
  <c r="AL70" i="27"/>
  <c r="AM70" i="27" s="1"/>
  <c r="AN70" i="27" s="1"/>
  <c r="AO70" i="27" s="1"/>
  <c r="AP70" i="27" s="1"/>
  <c r="AG65" i="27"/>
  <c r="AH65" i="27" s="1"/>
  <c r="AV80" i="27"/>
  <c r="AW80" i="27" s="1"/>
  <c r="AX80" i="27" s="1"/>
  <c r="AY80" i="27" s="1"/>
  <c r="AO73" i="27"/>
  <c r="AP73" i="27" s="1"/>
  <c r="AQ73" i="27" s="1"/>
  <c r="AY83" i="27"/>
  <c r="AE63" i="27"/>
  <c r="AF63" i="27" s="1"/>
  <c r="AK69" i="27"/>
  <c r="AL69" i="27" s="1"/>
  <c r="AM69" i="27" s="1"/>
  <c r="AN69" i="27" s="1"/>
  <c r="AJ68" i="27"/>
  <c r="AK68" i="27" s="1"/>
  <c r="AL68" i="27" s="1"/>
  <c r="AP74" i="27"/>
  <c r="AY183" i="27"/>
  <c r="AU76" i="27" l="1"/>
  <c r="AV76" i="27" s="1"/>
  <c r="AW78" i="27"/>
  <c r="AX78" i="27" s="1"/>
  <c r="AY78" i="27" s="1"/>
  <c r="AJ66" i="27"/>
  <c r="AK66" i="27" s="1"/>
  <c r="AR75" i="27"/>
  <c r="AS75" i="27" s="1"/>
  <c r="AT75" i="27" s="1"/>
  <c r="AT77" i="27"/>
  <c r="AL67" i="27"/>
  <c r="AM67" i="27" s="1"/>
  <c r="AI64" i="27"/>
  <c r="AJ64" i="27" s="1"/>
  <c r="AK64" i="27" s="1"/>
  <c r="AL64" i="27" s="1"/>
  <c r="AM64" i="27" s="1"/>
  <c r="AN64" i="27" s="1"/>
  <c r="AO64" i="27" s="1"/>
  <c r="AP64" i="27" s="1"/>
  <c r="AQ64" i="27" s="1"/>
  <c r="AR64" i="27" s="1"/>
  <c r="AS64" i="27" s="1"/>
  <c r="AT64" i="27" s="1"/>
  <c r="AU64" i="27" s="1"/>
  <c r="AV64" i="27" s="1"/>
  <c r="AW64" i="27" s="1"/>
  <c r="AX64" i="27" s="1"/>
  <c r="AY64" i="27" s="1"/>
  <c r="AD86" i="27"/>
  <c r="AP71" i="27"/>
  <c r="AQ71" i="27" s="1"/>
  <c r="AH62" i="27"/>
  <c r="AI65" i="27"/>
  <c r="AG63" i="27"/>
  <c r="AR73" i="27"/>
  <c r="AS73" i="27" s="1"/>
  <c r="AT73" i="27" s="1"/>
  <c r="AU73" i="27" s="1"/>
  <c r="AV73" i="27" s="1"/>
  <c r="AW73" i="27" s="1"/>
  <c r="AX73" i="27" s="1"/>
  <c r="AY73" i="27" s="1"/>
  <c r="AO69" i="27"/>
  <c r="AP69" i="27" s="1"/>
  <c r="AQ69" i="27" s="1"/>
  <c r="AR69" i="27" s="1"/>
  <c r="AF86" i="27"/>
  <c r="AR72" i="27"/>
  <c r="AS72" i="27" s="1"/>
  <c r="AT72" i="27" s="1"/>
  <c r="AU72" i="27" s="1"/>
  <c r="AV72" i="27" s="1"/>
  <c r="AW72" i="27" s="1"/>
  <c r="AX72" i="27" s="1"/>
  <c r="AY72" i="27" s="1"/>
  <c r="AJ61" i="27"/>
  <c r="AA86" i="27"/>
  <c r="X86" i="27"/>
  <c r="AB86" i="27"/>
  <c r="AM68" i="27"/>
  <c r="AE86" i="27"/>
  <c r="AC86" i="27"/>
  <c r="Y86" i="27"/>
  <c r="Z86" i="27"/>
  <c r="AQ70" i="27"/>
  <c r="AR70" i="27" s="1"/>
  <c r="AQ74" i="27"/>
  <c r="I126" i="32"/>
  <c r="AD49" i="40" l="1" a="1"/>
  <c r="AD49" i="40" s="1"/>
  <c r="AC49" i="40" a="1"/>
  <c r="AC49" i="40" s="1"/>
  <c r="AF49" i="40" a="1"/>
  <c r="AF49" i="40" s="1"/>
  <c r="Z49" i="40" a="1"/>
  <c r="Z49" i="40" s="1"/>
  <c r="Z68" i="40"/>
  <c r="AH63" i="27"/>
  <c r="AH86" i="27" s="1"/>
  <c r="Y68" i="40"/>
  <c r="AK61" i="27"/>
  <c r="AC68" i="40"/>
  <c r="AF68" i="40"/>
  <c r="AD68" i="40"/>
  <c r="AG86" i="27"/>
  <c r="AR71" i="27"/>
  <c r="AS71" i="27" s="1"/>
  <c r="AT71" i="27" s="1"/>
  <c r="AU71" i="27" s="1"/>
  <c r="AV71" i="27" s="1"/>
  <c r="AW71" i="27" s="1"/>
  <c r="AX71" i="27" s="1"/>
  <c r="AY71" i="27" s="1"/>
  <c r="AL66" i="27"/>
  <c r="AM66" i="27" s="1"/>
  <c r="AN66" i="27" s="1"/>
  <c r="AW76" i="27"/>
  <c r="AX76" i="27" s="1"/>
  <c r="AY76" i="27" s="1"/>
  <c r="AN67" i="27"/>
  <c r="AO67" i="27" s="1"/>
  <c r="AP67" i="27" s="1"/>
  <c r="AQ67" i="27" s="1"/>
  <c r="AR67" i="27" s="1"/>
  <c r="AS67" i="27" s="1"/>
  <c r="AT67" i="27" s="1"/>
  <c r="AU67" i="27" s="1"/>
  <c r="AV67" i="27" s="1"/>
  <c r="AW67" i="27" s="1"/>
  <c r="AX67" i="27" s="1"/>
  <c r="AY67" i="27" s="1"/>
  <c r="AU77" i="27"/>
  <c r="AV77" i="27" s="1"/>
  <c r="AW77" i="27" s="1"/>
  <c r="AX77" i="27" s="1"/>
  <c r="AY77" i="27" s="1"/>
  <c r="AU75" i="27"/>
  <c r="AJ65" i="27"/>
  <c r="AK65" i="27" s="1"/>
  <c r="AL65" i="27" s="1"/>
  <c r="AM65" i="27" s="1"/>
  <c r="AI62" i="27"/>
  <c r="AS69" i="27"/>
  <c r="AT69" i="27" s="1"/>
  <c r="AU69" i="27" s="1"/>
  <c r="AV69" i="27" s="1"/>
  <c r="AW69" i="27" s="1"/>
  <c r="AX69" i="27" s="1"/>
  <c r="AY69" i="27" s="1"/>
  <c r="AS70" i="27"/>
  <c r="AT70" i="27" s="1"/>
  <c r="AU70" i="27" s="1"/>
  <c r="AV70" i="27" s="1"/>
  <c r="AW70" i="27" s="1"/>
  <c r="AX70" i="27" s="1"/>
  <c r="AY70" i="27" s="1"/>
  <c r="AR74" i="27"/>
  <c r="AS74" i="27" s="1"/>
  <c r="AT74" i="27" s="1"/>
  <c r="AN68" i="27"/>
  <c r="AO68" i="27" s="1"/>
  <c r="AP68" i="27" s="1"/>
  <c r="AQ68" i="27" s="1"/>
  <c r="AR68" i="27" s="1"/>
  <c r="AS68" i="27" s="1"/>
  <c r="AT68" i="27" s="1"/>
  <c r="AU68" i="27" s="1"/>
  <c r="AV68" i="27" s="1"/>
  <c r="AW68" i="27" s="1"/>
  <c r="AX68" i="27" s="1"/>
  <c r="AY68" i="27" s="1"/>
  <c r="AY126" i="32"/>
  <c r="AF126" i="32"/>
  <c r="AO126" i="32"/>
  <c r="AN126" i="32"/>
  <c r="AM126" i="32"/>
  <c r="AC126" i="32"/>
  <c r="AH126" i="32"/>
  <c r="AT126" i="32"/>
  <c r="AG126" i="32"/>
  <c r="Z126" i="32"/>
  <c r="Y126" i="32"/>
  <c r="AA126" i="32"/>
  <c r="AD126" i="32"/>
  <c r="AS126" i="32"/>
  <c r="AP126" i="32"/>
  <c r="AV126" i="32"/>
  <c r="AL126" i="32"/>
  <c r="AB126" i="32"/>
  <c r="AI126" i="32"/>
  <c r="AX126" i="32"/>
  <c r="AE126" i="32"/>
  <c r="AK126" i="32"/>
  <c r="AJ126" i="32"/>
  <c r="AR126" i="32"/>
  <c r="AW126" i="32"/>
  <c r="AQ126" i="32"/>
  <c r="AU126" i="32"/>
  <c r="AH49" i="40" l="1" a="1"/>
  <c r="AH49" i="40" s="1"/>
  <c r="Y49" i="40" a="1"/>
  <c r="Y49" i="40" s="1"/>
  <c r="X49" i="40" a="1"/>
  <c r="X49" i="40" s="1"/>
  <c r="AB49" i="40" a="1"/>
  <c r="AB49" i="40" s="1"/>
  <c r="AG49" i="40" a="1"/>
  <c r="AG49" i="40" s="1"/>
  <c r="AE49" i="40" a="1"/>
  <c r="AE49" i="40" s="1"/>
  <c r="AA49" i="40" a="1"/>
  <c r="AA49" i="40" s="1"/>
  <c r="X68" i="40"/>
  <c r="AE68" i="40"/>
  <c r="AG68" i="40"/>
  <c r="AI63" i="27"/>
  <c r="AJ63" i="27" s="1"/>
  <c r="AK63" i="27" s="1"/>
  <c r="AH68" i="40"/>
  <c r="AL61" i="27"/>
  <c r="AB68" i="40"/>
  <c r="AA68" i="40"/>
  <c r="AO66" i="27"/>
  <c r="AP66" i="27" s="1"/>
  <c r="AQ66" i="27" s="1"/>
  <c r="AR66" i="27" s="1"/>
  <c r="AS66" i="27" s="1"/>
  <c r="AT66" i="27" s="1"/>
  <c r="AU66" i="27" s="1"/>
  <c r="AV66" i="27" s="1"/>
  <c r="AW66" i="27" s="1"/>
  <c r="AX66" i="27" s="1"/>
  <c r="AY66" i="27" s="1"/>
  <c r="AJ62" i="27"/>
  <c r="AV75" i="27"/>
  <c r="AW75" i="27" s="1"/>
  <c r="AN65" i="27"/>
  <c r="AO65" i="27" s="1"/>
  <c r="AU74" i="27"/>
  <c r="AV74" i="27" s="1"/>
  <c r="AW74" i="27" s="1"/>
  <c r="AX74" i="27" s="1"/>
  <c r="AY74" i="27" s="1"/>
  <c r="AU105" i="27"/>
  <c r="AL63" i="27" l="1"/>
  <c r="AM63" i="27" s="1"/>
  <c r="AN63" i="27" s="1"/>
  <c r="AO63" i="27" s="1"/>
  <c r="AP63" i="27" s="1"/>
  <c r="AQ63" i="27" s="1"/>
  <c r="AR63" i="27" s="1"/>
  <c r="AS63" i="27" s="1"/>
  <c r="AT63" i="27" s="1"/>
  <c r="AU63" i="27" s="1"/>
  <c r="AV63" i="27" s="1"/>
  <c r="AW63" i="27" s="1"/>
  <c r="AX63" i="27" s="1"/>
  <c r="AY63" i="27" s="1"/>
  <c r="AI86" i="27"/>
  <c r="AM61" i="27"/>
  <c r="AJ86" i="27"/>
  <c r="AK62" i="27"/>
  <c r="AX75" i="27"/>
  <c r="AY75" i="27" s="1"/>
  <c r="AP65" i="27"/>
  <c r="AQ65" i="27" s="1"/>
  <c r="AR65" i="27" s="1"/>
  <c r="AS65" i="27" s="1"/>
  <c r="AU113" i="27"/>
  <c r="AU114" i="27" s="1"/>
  <c r="AU106" i="27"/>
  <c r="D23" i="13" a="1"/>
  <c r="AJ68" i="40" l="1"/>
  <c r="AJ49" i="40" a="1"/>
  <c r="AJ49" i="40" s="1"/>
  <c r="AN61" i="27"/>
  <c r="AK86" i="27"/>
  <c r="AL62" i="27"/>
  <c r="AT65" i="27"/>
  <c r="AU65" i="27" s="1"/>
  <c r="AV65" i="27" s="1"/>
  <c r="AW65" i="27" s="1"/>
  <c r="AX65" i="27" s="1"/>
  <c r="AY65" i="27" s="1"/>
  <c r="D23" i="13"/>
  <c r="AK49" i="40" l="1" a="1"/>
  <c r="AK49" i="40" s="1"/>
  <c r="AI49" i="40" a="1"/>
  <c r="AI49" i="40" s="1"/>
  <c r="AL86" i="27"/>
  <c r="AO61" i="27"/>
  <c r="AM62" i="27"/>
  <c r="AK68" i="40" l="1"/>
  <c r="AL49" i="40" a="1"/>
  <c r="AL49" i="40" s="1"/>
  <c r="AI68" i="40"/>
  <c r="AM86" i="27"/>
  <c r="AP61" i="27"/>
  <c r="AN62" i="27"/>
  <c r="AL68" i="40" l="1"/>
  <c r="AM49" i="40" a="1"/>
  <c r="AM49" i="40" s="1"/>
  <c r="AN86" i="27"/>
  <c r="AQ61" i="27"/>
  <c r="AM68" i="40"/>
  <c r="AO62" i="27"/>
  <c r="AN49" i="40" l="1" a="1"/>
  <c r="AN49" i="40" s="1"/>
  <c r="AO86" i="27"/>
  <c r="AR61" i="27"/>
  <c r="AP62" i="27"/>
  <c r="AN68" i="40" l="1"/>
  <c r="AO49" i="40" a="1"/>
  <c r="AO49" i="40" s="1"/>
  <c r="AP86" i="27"/>
  <c r="AS61" i="27"/>
  <c r="AQ62" i="27"/>
  <c r="AO68" i="40" l="1"/>
  <c r="AP49" i="40" a="1"/>
  <c r="AP49" i="40" s="1"/>
  <c r="AQ86" i="27"/>
  <c r="AT61" i="27"/>
  <c r="AR62" i="27"/>
  <c r="AP68" i="40" l="1"/>
  <c r="AQ49" i="40" a="1"/>
  <c r="AQ49" i="40" s="1"/>
  <c r="AS62" i="27"/>
  <c r="AT62" i="27" s="1"/>
  <c r="AU61" i="27"/>
  <c r="AV61" i="27" s="1"/>
  <c r="AW61" i="27" s="1"/>
  <c r="AX61" i="27" s="1"/>
  <c r="AY61" i="27" s="1"/>
  <c r="AR86" i="27"/>
  <c r="AR68" i="40" l="1"/>
  <c r="AQ68" i="40"/>
  <c r="AS86" i="27"/>
  <c r="AR49" i="40" a="1"/>
  <c r="AR49" i="40" s="1"/>
  <c r="AT86" i="27"/>
  <c r="AU62" i="27"/>
  <c r="AU86" i="27" s="1"/>
  <c r="AU90" i="27" l="1"/>
  <c r="AU99" i="27" s="1"/>
  <c r="AV62" i="27"/>
  <c r="AV86" i="27" s="1"/>
  <c r="AS68" i="40" l="1"/>
  <c r="AS49" i="40" a="1"/>
  <c r="AS49" i="40" s="1"/>
  <c r="AU100" i="27"/>
  <c r="AU116" i="27" s="1"/>
  <c r="AU108" i="27"/>
  <c r="AV90" i="27"/>
  <c r="AV99" i="27" s="1"/>
  <c r="AT68" i="40"/>
  <c r="AT49" i="40" a="1"/>
  <c r="AT49" i="40" s="1"/>
  <c r="AW62" i="27"/>
  <c r="AW86" i="27" s="1"/>
  <c r="AU109" i="27" l="1"/>
  <c r="AV104" i="27" s="1"/>
  <c r="AV105" i="27" s="1"/>
  <c r="AV100" i="27"/>
  <c r="AV116" i="27" s="1"/>
  <c r="AV108" i="27"/>
  <c r="AU117" i="27"/>
  <c r="AU8" i="29"/>
  <c r="AW90" i="27"/>
  <c r="AW99" i="27" s="1"/>
  <c r="AX62" i="27"/>
  <c r="AX86" i="27" s="1"/>
  <c r="AU26" i="13" l="1"/>
  <c r="AU122" i="27"/>
  <c r="AU124" i="27" s="1"/>
  <c r="AU127" i="27" s="1"/>
  <c r="AU128" i="27" s="1"/>
  <c r="AU9" i="29" s="1"/>
  <c r="AV23" i="13"/>
  <c r="AV8" i="29"/>
  <c r="AW100" i="27"/>
  <c r="AW116" i="27" s="1"/>
  <c r="AW108" i="27"/>
  <c r="AV112" i="27"/>
  <c r="AV113" i="27" s="1"/>
  <c r="AV114" i="27" s="1"/>
  <c r="AV117" i="27" s="1"/>
  <c r="AU243" i="27"/>
  <c r="AU276" i="27" s="1"/>
  <c r="AU277" i="27" s="1"/>
  <c r="AU278" i="27" s="1"/>
  <c r="AX90" i="27"/>
  <c r="AX99" i="27" s="1"/>
  <c r="AV106" i="27"/>
  <c r="AV109" i="27" s="1"/>
  <c r="AY62" i="27"/>
  <c r="AY86" i="27" s="1"/>
  <c r="D26" i="13" a="1"/>
  <c r="D26" i="13" l="1"/>
  <c r="AU125" i="27"/>
  <c r="AU13" i="38" s="1"/>
  <c r="AU11" i="29"/>
  <c r="AW8" i="29"/>
  <c r="AX100" i="27"/>
  <c r="AX116" i="27" s="1"/>
  <c r="AX108" i="27"/>
  <c r="AV243" i="27"/>
  <c r="AV276" i="27" s="1"/>
  <c r="AV277" i="27" s="1"/>
  <c r="AV278" i="27" s="1"/>
  <c r="AW112" i="27"/>
  <c r="AY90" i="27"/>
  <c r="AY99" i="27" s="1"/>
  <c r="AV26" i="13"/>
  <c r="AW104" i="27"/>
  <c r="AW23" i="13" s="1"/>
  <c r="AV122" i="27"/>
  <c r="AV124" i="27" s="1"/>
  <c r="D13" i="38" a="1"/>
  <c r="D13" i="38" l="1"/>
  <c r="AV127" i="27"/>
  <c r="AV128" i="27" s="1"/>
  <c r="AV9" i="29" s="1"/>
  <c r="AV125" i="27"/>
  <c r="AV13" i="38" s="1"/>
  <c r="AU9" i="34"/>
  <c r="AU34" i="34" s="1"/>
  <c r="AX8" i="29"/>
  <c r="AY100" i="27"/>
  <c r="AY116" i="27" s="1"/>
  <c r="AY108" i="27"/>
  <c r="AW105" i="27"/>
  <c r="AW113" i="27" s="1"/>
  <c r="AW114" i="27" s="1"/>
  <c r="AW117" i="27" s="1"/>
  <c r="D9" i="34" a="1"/>
  <c r="D9" i="34" l="1"/>
  <c r="AU37" i="34"/>
  <c r="AU38" i="34" s="1"/>
  <c r="AU41" i="34" s="1"/>
  <c r="AU42" i="34" s="1"/>
  <c r="AV11" i="29"/>
  <c r="AY8" i="29"/>
  <c r="AW106" i="27"/>
  <c r="AW109" i="27" s="1"/>
  <c r="AX112" i="27"/>
  <c r="AW243" i="27"/>
  <c r="AW276" i="27" s="1"/>
  <c r="AW277" i="27" s="1"/>
  <c r="AW278" i="27" s="1"/>
  <c r="AU39" i="34" l="1"/>
  <c r="AV9" i="34"/>
  <c r="AW122" i="27"/>
  <c r="AW124" i="27" s="1"/>
  <c r="AX104" i="27"/>
  <c r="AW26" i="13"/>
  <c r="AV34" i="34" l="1"/>
  <c r="AV37" i="34" s="1"/>
  <c r="AV38" i="34" s="1"/>
  <c r="AW127" i="27"/>
  <c r="AW128" i="27" s="1"/>
  <c r="AW9" i="29" s="1"/>
  <c r="AW125" i="27"/>
  <c r="AW13" i="38" s="1"/>
  <c r="AX105" i="27"/>
  <c r="AX113" i="27" s="1"/>
  <c r="AX114" i="27" s="1"/>
  <c r="AX117" i="27" s="1"/>
  <c r="AX243" i="27" s="1"/>
  <c r="AX276" i="27" s="1"/>
  <c r="AX277" i="27" s="1"/>
  <c r="AX278" i="27" s="1"/>
  <c r="AX23" i="13"/>
  <c r="AY17" i="2"/>
  <c r="AY51" i="2" s="1"/>
  <c r="AX17" i="2"/>
  <c r="AX51" i="2" s="1"/>
  <c r="AU17" i="2"/>
  <c r="AU24" i="2"/>
  <c r="AW17" i="2"/>
  <c r="AW51" i="2" s="1"/>
  <c r="AY24" i="2"/>
  <c r="AY59" i="2" s="1"/>
  <c r="AW24" i="2"/>
  <c r="AW59" i="2" s="1"/>
  <c r="AW16" i="2"/>
  <c r="AW50" i="2" s="1"/>
  <c r="AY16" i="2"/>
  <c r="AY50" i="2" s="1"/>
  <c r="AX23" i="2"/>
  <c r="AX58" i="2" s="1"/>
  <c r="AV16" i="2"/>
  <c r="AV50" i="2" s="1"/>
  <c r="AU16" i="2"/>
  <c r="AY23" i="2"/>
  <c r="AY58" i="2" s="1"/>
  <c r="AU23" i="2"/>
  <c r="AV23" i="2"/>
  <c r="AV58" i="2" s="1"/>
  <c r="AW23" i="2"/>
  <c r="AW58" i="2" s="1"/>
  <c r="AV24" i="2"/>
  <c r="AV59" i="2" s="1"/>
  <c r="AX24" i="2"/>
  <c r="AX59" i="2" s="1"/>
  <c r="AV17" i="2"/>
  <c r="AV51" i="2" s="1"/>
  <c r="AX16" i="2"/>
  <c r="AX50" i="2" s="1"/>
  <c r="AW22" i="2"/>
  <c r="AW57" i="2" s="1"/>
  <c r="AU22" i="2"/>
  <c r="AW15" i="2"/>
  <c r="AW49" i="2" s="1"/>
  <c r="AV22" i="2"/>
  <c r="AV57" i="2" s="1"/>
  <c r="AV15" i="2"/>
  <c r="AV49" i="2" s="1"/>
  <c r="AX15" i="2"/>
  <c r="AX49" i="2" s="1"/>
  <c r="AY22" i="2"/>
  <c r="AY57" i="2" s="1"/>
  <c r="AY15" i="2"/>
  <c r="AY49" i="2" s="1"/>
  <c r="AU15" i="2"/>
  <c r="AX22" i="2"/>
  <c r="AX57" i="2" s="1"/>
  <c r="AU14" i="2"/>
  <c r="AV21" i="2"/>
  <c r="AV56" i="2" s="1"/>
  <c r="AW21" i="2"/>
  <c r="AW56" i="2" s="1"/>
  <c r="AV14" i="2"/>
  <c r="AV48" i="2" s="1"/>
  <c r="AU21" i="2"/>
  <c r="AX21" i="2"/>
  <c r="AX56" i="2" s="1"/>
  <c r="AW14" i="2"/>
  <c r="AW48" i="2" s="1"/>
  <c r="AX14" i="2"/>
  <c r="AX48" i="2" s="1"/>
  <c r="AY21" i="2"/>
  <c r="AY56" i="2" s="1"/>
  <c r="AY14" i="2"/>
  <c r="AY48" i="2" s="1"/>
  <c r="AW26" i="2"/>
  <c r="AW61" i="2" s="1"/>
  <c r="AW19" i="2"/>
  <c r="AW53" i="2" s="1"/>
  <c r="AU26" i="2"/>
  <c r="AX19" i="2"/>
  <c r="AX53" i="2" s="1"/>
  <c r="AV19" i="2"/>
  <c r="AV53" i="2" s="1"/>
  <c r="AV26" i="2"/>
  <c r="AV61" i="2" s="1"/>
  <c r="AU19" i="2"/>
  <c r="AX26" i="2"/>
  <c r="AX61" i="2" s="1"/>
  <c r="AW25" i="2"/>
  <c r="AW60" i="2" s="1"/>
  <c r="AW18" i="2"/>
  <c r="AW52" i="2" s="1"/>
  <c r="AV18" i="2"/>
  <c r="AV52" i="2" s="1"/>
  <c r="AV25" i="2"/>
  <c r="AV60" i="2" s="1"/>
  <c r="AY18" i="2"/>
  <c r="AY52" i="2" s="1"/>
  <c r="AX18" i="2"/>
  <c r="AX52" i="2" s="1"/>
  <c r="AY25" i="2"/>
  <c r="AY60" i="2" s="1"/>
  <c r="AX25" i="2"/>
  <c r="AX60" i="2" s="1"/>
  <c r="AU18" i="2"/>
  <c r="AU25" i="2"/>
  <c r="D19" i="2" a="1"/>
  <c r="D16" i="2" a="1"/>
  <c r="D18" i="2" a="1"/>
  <c r="D15" i="2" a="1"/>
  <c r="D25" i="2" a="1"/>
  <c r="D17" i="2" a="1"/>
  <c r="D14" i="2" a="1"/>
  <c r="D23" i="2" a="1"/>
  <c r="D24" i="2" a="1"/>
  <c r="D22" i="2" a="1"/>
  <c r="D21" i="2" a="1"/>
  <c r="D26" i="2" a="1"/>
  <c r="AV41" i="34" l="1"/>
  <c r="AV42" i="34" s="1"/>
  <c r="AV39" i="34"/>
  <c r="AW11" i="29"/>
  <c r="AX106" i="27"/>
  <c r="AX109" i="27" s="1"/>
  <c r="AY112" i="27"/>
  <c r="D25" i="2"/>
  <c r="D19" i="2"/>
  <c r="D22" i="2"/>
  <c r="D26" i="2"/>
  <c r="D15" i="2"/>
  <c r="D18" i="2"/>
  <c r="D21" i="2"/>
  <c r="D24" i="2"/>
  <c r="D16" i="2"/>
  <c r="D23" i="2"/>
  <c r="D17" i="2"/>
  <c r="D14" i="2"/>
  <c r="AU60" i="2"/>
  <c r="AX87" i="2"/>
  <c r="AX19" i="4" s="1"/>
  <c r="AX33" i="4"/>
  <c r="AV21" i="4"/>
  <c r="AV74" i="2"/>
  <c r="AV7" i="4" s="1"/>
  <c r="AV64" i="2"/>
  <c r="AY84" i="2"/>
  <c r="AY16" i="4" s="1"/>
  <c r="AY30" i="4"/>
  <c r="AY85" i="2"/>
  <c r="AY17" i="4" s="1"/>
  <c r="AY31" i="4"/>
  <c r="AY86" i="2"/>
  <c r="AY18" i="4" s="1"/>
  <c r="AY32" i="4"/>
  <c r="AU53" i="2"/>
  <c r="AW28" i="4"/>
  <c r="AW82" i="2"/>
  <c r="AW14" i="4" s="1"/>
  <c r="AV75" i="2"/>
  <c r="AV22" i="4"/>
  <c r="AV65" i="2"/>
  <c r="AV78" i="2"/>
  <c r="AV25" i="4"/>
  <c r="AV68" i="2"/>
  <c r="AV87" i="2"/>
  <c r="AV19" i="4" s="1"/>
  <c r="AV33" i="4"/>
  <c r="AY21" i="4"/>
  <c r="AY74" i="2"/>
  <c r="AY7" i="4" s="1"/>
  <c r="AY64" i="2"/>
  <c r="AV28" i="4"/>
  <c r="AV82" i="2"/>
  <c r="AV14" i="4" s="1"/>
  <c r="AV83" i="2"/>
  <c r="AV15" i="4" s="1"/>
  <c r="AV29" i="4"/>
  <c r="AX78" i="2"/>
  <c r="AX25" i="4"/>
  <c r="AX68" i="2"/>
  <c r="AY78" i="2"/>
  <c r="AY25" i="4"/>
  <c r="AY68" i="2"/>
  <c r="AV79" i="2"/>
  <c r="AV26" i="4"/>
  <c r="AV69" i="2"/>
  <c r="AW75" i="2"/>
  <c r="AW22" i="4"/>
  <c r="AW65" i="2"/>
  <c r="AX86" i="2"/>
  <c r="AX18" i="4" s="1"/>
  <c r="AX32" i="4"/>
  <c r="AV86" i="2"/>
  <c r="AV18" i="4" s="1"/>
  <c r="AV32" i="4"/>
  <c r="AX79" i="2"/>
  <c r="AX69" i="2"/>
  <c r="AX26" i="4"/>
  <c r="AX83" i="2"/>
  <c r="AX15" i="4" s="1"/>
  <c r="AX29" i="4"/>
  <c r="AU57" i="2"/>
  <c r="AU61" i="2"/>
  <c r="AW21" i="4"/>
  <c r="AW74" i="2"/>
  <c r="AW7" i="4" s="1"/>
  <c r="AW64" i="2"/>
  <c r="AU49" i="2"/>
  <c r="AW83" i="2"/>
  <c r="AW15" i="4" s="1"/>
  <c r="AW29" i="4"/>
  <c r="AW78" i="2"/>
  <c r="AW25" i="4"/>
  <c r="AW68" i="2"/>
  <c r="AW79" i="2"/>
  <c r="AW26" i="4"/>
  <c r="AW69" i="2"/>
  <c r="AX28" i="4"/>
  <c r="AX82" i="2"/>
  <c r="AX14" i="4" s="1"/>
  <c r="AY75" i="2"/>
  <c r="AY65" i="2"/>
  <c r="AY22" i="4"/>
  <c r="AU52" i="2"/>
  <c r="AW86" i="2"/>
  <c r="AW18" i="4" s="1"/>
  <c r="AW32" i="4"/>
  <c r="AW87" i="2"/>
  <c r="AW19" i="4" s="1"/>
  <c r="AW33" i="4"/>
  <c r="AU56" i="2"/>
  <c r="AY83" i="2"/>
  <c r="AY15" i="4" s="1"/>
  <c r="AY29" i="4"/>
  <c r="AX75" i="2"/>
  <c r="AX22" i="4"/>
  <c r="AX65" i="2"/>
  <c r="AX76" i="2"/>
  <c r="AX66" i="2"/>
  <c r="AX23" i="4"/>
  <c r="AW84" i="2"/>
  <c r="AW16" i="4" s="1"/>
  <c r="AW30" i="4"/>
  <c r="AY26" i="2"/>
  <c r="AY61" i="2" s="1"/>
  <c r="AX77" i="2"/>
  <c r="AX24" i="4"/>
  <c r="AX67" i="2"/>
  <c r="AW76" i="2"/>
  <c r="AW66" i="2"/>
  <c r="AW23" i="4"/>
  <c r="AY76" i="2"/>
  <c r="AY66" i="2"/>
  <c r="AY23" i="4"/>
  <c r="AY77" i="2"/>
  <c r="AY24" i="4"/>
  <c r="AY67" i="2"/>
  <c r="AU59" i="2"/>
  <c r="AY28" i="4"/>
  <c r="AY82" i="2"/>
  <c r="AY14" i="4" s="1"/>
  <c r="AV76" i="2"/>
  <c r="AV66" i="2"/>
  <c r="AV23" i="4"/>
  <c r="AX84" i="2"/>
  <c r="AX16" i="4" s="1"/>
  <c r="AX30" i="4"/>
  <c r="AX85" i="2"/>
  <c r="AX17" i="4" s="1"/>
  <c r="AX31" i="4"/>
  <c r="AV84" i="2"/>
  <c r="AV16" i="4" s="1"/>
  <c r="AV30" i="4"/>
  <c r="AU50" i="2"/>
  <c r="AW77" i="2"/>
  <c r="AW67" i="2"/>
  <c r="AW24" i="4"/>
  <c r="AU58" i="2"/>
  <c r="AU51" i="2"/>
  <c r="AY19" i="2"/>
  <c r="AY53" i="2" s="1"/>
  <c r="AU48" i="2"/>
  <c r="AV85" i="2"/>
  <c r="AV17" i="4" s="1"/>
  <c r="AV31" i="4"/>
  <c r="AX21" i="4"/>
  <c r="AX74" i="2"/>
  <c r="AX7" i="4" s="1"/>
  <c r="AX64" i="2"/>
  <c r="AV77" i="2"/>
  <c r="AV67" i="2"/>
  <c r="AV24" i="4"/>
  <c r="AW85" i="2"/>
  <c r="AW17" i="4" s="1"/>
  <c r="AW31" i="4"/>
  <c r="AW43" i="34" l="1"/>
  <c r="AW9" i="34"/>
  <c r="AX26" i="13"/>
  <c r="AY104" i="27"/>
  <c r="AX122" i="27"/>
  <c r="AX124" i="27" s="1"/>
  <c r="AX70" i="2"/>
  <c r="AW70" i="2"/>
  <c r="AW41" i="4"/>
  <c r="AV70" i="2"/>
  <c r="AV41" i="4"/>
  <c r="AU85" i="2"/>
  <c r="AU17" i="4" s="1"/>
  <c r="AU31" i="4"/>
  <c r="AU82" i="2"/>
  <c r="AU14" i="4" s="1"/>
  <c r="AU28" i="4"/>
  <c r="AY8" i="4"/>
  <c r="AY91" i="2"/>
  <c r="AW11" i="4"/>
  <c r="AW94" i="2"/>
  <c r="AU83" i="2"/>
  <c r="AU15" i="4" s="1"/>
  <c r="AU29" i="4"/>
  <c r="AU84" i="2"/>
  <c r="AU16" i="4" s="1"/>
  <c r="AU30" i="4"/>
  <c r="AX90" i="2"/>
  <c r="AW92" i="2"/>
  <c r="AW9" i="4"/>
  <c r="AX41" i="4"/>
  <c r="AV11" i="4"/>
  <c r="AV94" i="2"/>
  <c r="AX92" i="2"/>
  <c r="AX9" i="4"/>
  <c r="AY11" i="4"/>
  <c r="AY94" i="2"/>
  <c r="AW93" i="2"/>
  <c r="AW10" i="4"/>
  <c r="AY10" i="4"/>
  <c r="AY93" i="2"/>
  <c r="AU75" i="2"/>
  <c r="AU22" i="4"/>
  <c r="AU65" i="2"/>
  <c r="AY90" i="2"/>
  <c r="AU86" i="2"/>
  <c r="AU18" i="4" s="1"/>
  <c r="AU32" i="4"/>
  <c r="AX10" i="4"/>
  <c r="AX93" i="2"/>
  <c r="AW91" i="2"/>
  <c r="AW8" i="4"/>
  <c r="AV91" i="2"/>
  <c r="AV8" i="4"/>
  <c r="AY87" i="2"/>
  <c r="AY19" i="4" s="1"/>
  <c r="AY33" i="4"/>
  <c r="AX91" i="2"/>
  <c r="AX8" i="4"/>
  <c r="AU78" i="2"/>
  <c r="AU25" i="4"/>
  <c r="AU68" i="2"/>
  <c r="AW95" i="2"/>
  <c r="AW12" i="4"/>
  <c r="AW90" i="2"/>
  <c r="AX12" i="4"/>
  <c r="AX95" i="2"/>
  <c r="AX94" i="2"/>
  <c r="AX11" i="4"/>
  <c r="AY79" i="2"/>
  <c r="AY69" i="2"/>
  <c r="AY70" i="2" s="1"/>
  <c r="AY26" i="4"/>
  <c r="AY92" i="2"/>
  <c r="AY9" i="4"/>
  <c r="AU76" i="2"/>
  <c r="AU23" i="4"/>
  <c r="AU66" i="2"/>
  <c r="AU74" i="2"/>
  <c r="AU7" i="4" s="1"/>
  <c r="AU64" i="2"/>
  <c r="AU21" i="4"/>
  <c r="AV9" i="4"/>
  <c r="AV92" i="2"/>
  <c r="AV10" i="4"/>
  <c r="AV93" i="2"/>
  <c r="AU77" i="2"/>
  <c r="AU24" i="4"/>
  <c r="AU67" i="2"/>
  <c r="AU87" i="2"/>
  <c r="AU19" i="4" s="1"/>
  <c r="AU33" i="4"/>
  <c r="AV95" i="2"/>
  <c r="AV12" i="4"/>
  <c r="AU79" i="2"/>
  <c r="AU26" i="4"/>
  <c r="AU69" i="2"/>
  <c r="AV90" i="2"/>
  <c r="D26" i="4" a="1"/>
  <c r="D23" i="4" a="1"/>
  <c r="D29" i="4" a="1"/>
  <c r="D17" i="4" a="1"/>
  <c r="D14" i="4" a="1"/>
  <c r="D32" i="4" a="1"/>
  <c r="D21" i="4" a="1"/>
  <c r="D22" i="4" a="1"/>
  <c r="D31" i="4" a="1"/>
  <c r="D18" i="4" a="1"/>
  <c r="D28" i="4" a="1"/>
  <c r="D16" i="4" a="1"/>
  <c r="D15" i="4" a="1"/>
  <c r="D33" i="4" a="1"/>
  <c r="D24" i="4" a="1"/>
  <c r="D25" i="4" a="1"/>
  <c r="D19" i="4" a="1"/>
  <c r="D30" i="4" a="1"/>
  <c r="AW34" i="34" l="1"/>
  <c r="AW37" i="34" s="1"/>
  <c r="AW38" i="34" s="1"/>
  <c r="AX127" i="27"/>
  <c r="AX128" i="27" s="1"/>
  <c r="AX9" i="29" s="1"/>
  <c r="AX125" i="27"/>
  <c r="AX13" i="38" s="1"/>
  <c r="AW81" i="40"/>
  <c r="AW86" i="40" s="1"/>
  <c r="AX81" i="40"/>
  <c r="AX86" i="40" s="1"/>
  <c r="AV81" i="40"/>
  <c r="AV86" i="40" s="1"/>
  <c r="AY81" i="40"/>
  <c r="AY86" i="40" s="1"/>
  <c r="AX45" i="4"/>
  <c r="AX49" i="4" s="1"/>
  <c r="AX57" i="4" s="1"/>
  <c r="AX10" i="38"/>
  <c r="AV45" i="4"/>
  <c r="AV49" i="4" s="1"/>
  <c r="AV58" i="4" s="1"/>
  <c r="AV10" i="38"/>
  <c r="AW45" i="4"/>
  <c r="AW49" i="4" s="1"/>
  <c r="AW58" i="4" s="1"/>
  <c r="AW10" i="38"/>
  <c r="AY105" i="27"/>
  <c r="AY113" i="27" s="1"/>
  <c r="AY114" i="27" s="1"/>
  <c r="AY117" i="27" s="1"/>
  <c r="AY243" i="27" s="1"/>
  <c r="AY276" i="27" s="1"/>
  <c r="AY277" i="27" s="1"/>
  <c r="AY278" i="27" s="1"/>
  <c r="AY23" i="13"/>
  <c r="AY41" i="4"/>
  <c r="AU70" i="2"/>
  <c r="AU81" i="40" s="1"/>
  <c r="AU86" i="40" s="1"/>
  <c r="D23" i="4"/>
  <c r="D33" i="4"/>
  <c r="D30" i="4"/>
  <c r="D25" i="4"/>
  <c r="D16" i="4"/>
  <c r="D28" i="4"/>
  <c r="D18" i="4"/>
  <c r="D14" i="4"/>
  <c r="D32" i="4"/>
  <c r="D19" i="4"/>
  <c r="D21" i="4"/>
  <c r="D26" i="4"/>
  <c r="D24" i="4"/>
  <c r="D22" i="4"/>
  <c r="D29" i="4"/>
  <c r="D31" i="4"/>
  <c r="D15" i="4"/>
  <c r="D17" i="4"/>
  <c r="AW96" i="2"/>
  <c r="AU10" i="4"/>
  <c r="AU93" i="2"/>
  <c r="AX96" i="2"/>
  <c r="AX7" i="9" s="1"/>
  <c r="AX36" i="9" s="1"/>
  <c r="AU9" i="4"/>
  <c r="AU92" i="2"/>
  <c r="AV40" i="4"/>
  <c r="AX40" i="4"/>
  <c r="AV96" i="2"/>
  <c r="AY12" i="4"/>
  <c r="AY95" i="2"/>
  <c r="AU94" i="2"/>
  <c r="AU11" i="4"/>
  <c r="AU41" i="4"/>
  <c r="AU95" i="2"/>
  <c r="AU12" i="4"/>
  <c r="AU90" i="2"/>
  <c r="AW40" i="4"/>
  <c r="AU91" i="2"/>
  <c r="AU8" i="4"/>
  <c r="D9" i="4" a="1"/>
  <c r="D7" i="4" a="1"/>
  <c r="D8" i="4" a="1"/>
  <c r="D10" i="4" a="1"/>
  <c r="D11" i="4" a="1"/>
  <c r="D12" i="4" a="1"/>
  <c r="AW41" i="34" l="1"/>
  <c r="AW42" i="34" s="1"/>
  <c r="AW39" i="34"/>
  <c r="AV77" i="40"/>
  <c r="AV85" i="40" s="1"/>
  <c r="AV7" i="9"/>
  <c r="AV36" i="9" s="1"/>
  <c r="AV40" i="9" s="1"/>
  <c r="AV51" i="9" s="1"/>
  <c r="AV52" i="9" s="1"/>
  <c r="AV60" i="9" s="1"/>
  <c r="AW77" i="40"/>
  <c r="AW85" i="40" s="1"/>
  <c r="AW7" i="9"/>
  <c r="AW36" i="9" s="1"/>
  <c r="AW42" i="9" s="1"/>
  <c r="AW84" i="9" s="1"/>
  <c r="I27" i="40"/>
  <c r="AX60" i="40"/>
  <c r="AX77" i="40"/>
  <c r="AX85" i="40" s="1"/>
  <c r="AX11" i="29"/>
  <c r="AW60" i="40"/>
  <c r="AW41" i="40" a="1"/>
  <c r="AW41" i="40" s="1"/>
  <c r="AV41" i="40" a="1"/>
  <c r="AV41" i="40" s="1"/>
  <c r="AV60" i="40"/>
  <c r="AY40" i="4"/>
  <c r="AY9" i="38" s="1"/>
  <c r="AX41" i="40" a="1"/>
  <c r="AX41" i="40" s="1"/>
  <c r="AW57" i="4"/>
  <c r="AX58" i="4"/>
  <c r="AV57" i="4"/>
  <c r="AW44" i="4"/>
  <c r="AW9" i="38"/>
  <c r="AW28" i="38" s="1"/>
  <c r="AU45" i="4"/>
  <c r="AU49" i="4" s="1"/>
  <c r="AU57" i="4" s="1"/>
  <c r="AU10" i="38"/>
  <c r="AX44" i="4"/>
  <c r="AX48" i="4" s="1"/>
  <c r="AX53" i="4" s="1"/>
  <c r="AX9" i="38"/>
  <c r="AX28" i="38" s="1"/>
  <c r="AV44" i="4"/>
  <c r="AV9" i="38"/>
  <c r="AV28" i="38" s="1"/>
  <c r="AY45" i="4"/>
  <c r="AY49" i="4" s="1"/>
  <c r="AY57" i="4" s="1"/>
  <c r="AY10" i="38"/>
  <c r="AY106" i="27"/>
  <c r="AY109" i="27" s="1"/>
  <c r="AY122" i="27" s="1"/>
  <c r="AY124" i="27" s="1"/>
  <c r="AX43" i="9"/>
  <c r="AX91" i="9" s="1"/>
  <c r="AX11" i="13"/>
  <c r="AX49" i="13" s="1"/>
  <c r="AV11" i="13"/>
  <c r="AV49" i="13" s="1"/>
  <c r="AW11" i="13"/>
  <c r="AW49" i="13" s="1"/>
  <c r="AY96" i="2"/>
  <c r="D10" i="4"/>
  <c r="D8" i="4"/>
  <c r="D11" i="4"/>
  <c r="D9" i="4"/>
  <c r="D7" i="4"/>
  <c r="D12" i="4"/>
  <c r="AU96" i="2"/>
  <c r="AU7" i="9" s="1"/>
  <c r="AU36" i="9" s="1"/>
  <c r="AU40" i="4"/>
  <c r="D10" i="38" a="1"/>
  <c r="D7" i="9" a="1"/>
  <c r="AX43" i="34" l="1"/>
  <c r="AW32" i="38"/>
  <c r="AW62" i="38" s="1"/>
  <c r="AV32" i="38"/>
  <c r="AV62" i="38" s="1"/>
  <c r="AX32" i="38"/>
  <c r="AX62" i="38" s="1"/>
  <c r="AY127" i="27"/>
  <c r="AY128" i="27" s="1"/>
  <c r="AY9" i="29" s="1"/>
  <c r="AY125" i="27"/>
  <c r="AY13" i="38" s="1"/>
  <c r="AY77" i="40"/>
  <c r="AY85" i="40" s="1"/>
  <c r="AY7" i="9"/>
  <c r="AY36" i="9" s="1"/>
  <c r="AY43" i="9" s="1"/>
  <c r="AY91" i="9" s="1"/>
  <c r="AX9" i="34"/>
  <c r="AY44" i="4"/>
  <c r="AY48" i="4" s="1"/>
  <c r="AY53" i="4" s="1"/>
  <c r="AY61" i="4" s="1"/>
  <c r="AY7" i="12" s="1"/>
  <c r="AU77" i="40"/>
  <c r="AU85" i="40" s="1"/>
  <c r="AU41" i="40" a="1"/>
  <c r="AU41" i="40" s="1"/>
  <c r="AV48" i="4"/>
  <c r="AV54" i="4" s="1"/>
  <c r="AV62" i="4" s="1"/>
  <c r="AV8" i="32" s="1"/>
  <c r="AW48" i="4"/>
  <c r="AW53" i="4" s="1"/>
  <c r="AW61" i="4" s="1"/>
  <c r="AW7" i="12" s="1"/>
  <c r="AY60" i="40"/>
  <c r="AY41" i="40" a="1"/>
  <c r="AY41" i="40" s="1"/>
  <c r="AU60" i="40"/>
  <c r="AY58" i="4"/>
  <c r="AU58" i="4"/>
  <c r="AX54" i="4"/>
  <c r="AX62" i="4" s="1"/>
  <c r="AX15" i="8" s="1"/>
  <c r="AX36" i="8" s="1"/>
  <c r="AY28" i="38"/>
  <c r="D10" i="38"/>
  <c r="AU44" i="4"/>
  <c r="AU48" i="4" s="1"/>
  <c r="AU53" i="4" s="1"/>
  <c r="AU9" i="38"/>
  <c r="AX40" i="9"/>
  <c r="AX51" i="9" s="1"/>
  <c r="AX52" i="9" s="1"/>
  <c r="AX60" i="9" s="1"/>
  <c r="AX42" i="9"/>
  <c r="AX84" i="9" s="1"/>
  <c r="AY26" i="13"/>
  <c r="AX41" i="9"/>
  <c r="AX68" i="9" s="1"/>
  <c r="AX69" i="9" s="1"/>
  <c r="AX77" i="9" s="1"/>
  <c r="AX45" i="9"/>
  <c r="AX44" i="9"/>
  <c r="AX61" i="4"/>
  <c r="AX7" i="12" s="1"/>
  <c r="AV43" i="9"/>
  <c r="AV91" i="9" s="1"/>
  <c r="AV44" i="9"/>
  <c r="AV42" i="9"/>
  <c r="AV84" i="9" s="1"/>
  <c r="AV45" i="9"/>
  <c r="AV41" i="9"/>
  <c r="AV68" i="9" s="1"/>
  <c r="AV69" i="9" s="1"/>
  <c r="AV77" i="9" s="1"/>
  <c r="AW41" i="9"/>
  <c r="AW68" i="9" s="1"/>
  <c r="AW69" i="9" s="1"/>
  <c r="AW77" i="9" s="1"/>
  <c r="AW45" i="9"/>
  <c r="AW40" i="9"/>
  <c r="AW51" i="9" s="1"/>
  <c r="AW52" i="9" s="1"/>
  <c r="AW60" i="9" s="1"/>
  <c r="AW44" i="9"/>
  <c r="AW43" i="9"/>
  <c r="AW91" i="9" s="1"/>
  <c r="AU11" i="13"/>
  <c r="AU49" i="13" s="1"/>
  <c r="AY11" i="13"/>
  <c r="AY49" i="13" s="1"/>
  <c r="D7" i="9"/>
  <c r="D11" i="13" a="1"/>
  <c r="D9" i="38" a="1"/>
  <c r="AY42" i="9" l="1"/>
  <c r="AY84" i="9" s="1"/>
  <c r="AY45" i="9"/>
  <c r="AY12" i="11" s="1"/>
  <c r="AY34" i="11" s="1"/>
  <c r="AY44" i="9"/>
  <c r="AX34" i="34"/>
  <c r="AX37" i="34" s="1"/>
  <c r="AX38" i="34" s="1"/>
  <c r="AY40" i="9"/>
  <c r="AY51" i="9" s="1"/>
  <c r="AY52" i="9" s="1"/>
  <c r="AY60" i="9" s="1"/>
  <c r="AY41" i="9"/>
  <c r="AY68" i="9" s="1"/>
  <c r="AY69" i="9" s="1"/>
  <c r="AY77" i="9" s="1"/>
  <c r="AY32" i="38"/>
  <c r="AY62" i="38" s="1"/>
  <c r="AW54" i="4"/>
  <c r="AW62" i="4" s="1"/>
  <c r="AW8" i="32" s="1"/>
  <c r="AW21" i="32" s="1"/>
  <c r="AV53" i="4"/>
  <c r="AV61" i="4" s="1"/>
  <c r="AV7" i="12" s="1"/>
  <c r="AY54" i="4"/>
  <c r="AY62" i="4" s="1"/>
  <c r="AY15" i="8" s="1"/>
  <c r="AY36" i="8" s="1"/>
  <c r="AY11" i="29"/>
  <c r="AX61" i="40"/>
  <c r="AV15" i="8"/>
  <c r="AV36" i="8" s="1"/>
  <c r="AX42" i="40" a="1"/>
  <c r="AX42" i="40" s="1"/>
  <c r="I26" i="40"/>
  <c r="AX8" i="32"/>
  <c r="AX21" i="32" s="1"/>
  <c r="AU54" i="4"/>
  <c r="AU62" i="4" s="1"/>
  <c r="D9" i="38"/>
  <c r="AU28" i="38"/>
  <c r="AX12" i="11"/>
  <c r="AX34" i="11" s="1"/>
  <c r="AW12" i="11"/>
  <c r="AW34" i="11" s="1"/>
  <c r="AV12" i="11"/>
  <c r="AV34" i="11" s="1"/>
  <c r="AU61" i="4"/>
  <c r="AU7" i="12" s="1"/>
  <c r="D11" i="13"/>
  <c r="AV21" i="32"/>
  <c r="AU42" i="9"/>
  <c r="AU84" i="9" s="1"/>
  <c r="AU43" i="9"/>
  <c r="AU91" i="9" s="1"/>
  <c r="AU41" i="9"/>
  <c r="AU68" i="9" s="1"/>
  <c r="AU40" i="9"/>
  <c r="AU51" i="9" s="1"/>
  <c r="AU45" i="9"/>
  <c r="AU44" i="9"/>
  <c r="AX41" i="34" l="1"/>
  <c r="AX42" i="34" s="1"/>
  <c r="AX39" i="34"/>
  <c r="AU32" i="38"/>
  <c r="AU62" i="38" s="1"/>
  <c r="AV61" i="40"/>
  <c r="AW61" i="40"/>
  <c r="AW42" i="40" a="1"/>
  <c r="AW42" i="40" s="1"/>
  <c r="AW15" i="8"/>
  <c r="AW36" i="8" s="1"/>
  <c r="AV42" i="40" a="1"/>
  <c r="AV42" i="40" s="1"/>
  <c r="AY9" i="34"/>
  <c r="AY34" i="34" s="1"/>
  <c r="AY8" i="32"/>
  <c r="AY21" i="32" s="1"/>
  <c r="AY42" i="40" a="1"/>
  <c r="AY42" i="40" s="1"/>
  <c r="AY61" i="40"/>
  <c r="AU15" i="8"/>
  <c r="AU42" i="40" a="1"/>
  <c r="AU42" i="40" s="1"/>
  <c r="AU61" i="40"/>
  <c r="AX93" i="9"/>
  <c r="AX100" i="9" s="1"/>
  <c r="AV93" i="9"/>
  <c r="AV100" i="9" s="1"/>
  <c r="AW93" i="9"/>
  <c r="AW100" i="9" s="1"/>
  <c r="AY93" i="9"/>
  <c r="AY100" i="9" s="1"/>
  <c r="AX86" i="9"/>
  <c r="AX99" i="9" s="1"/>
  <c r="AV86" i="9"/>
  <c r="AV99" i="9" s="1"/>
  <c r="AW86" i="9"/>
  <c r="AW99" i="9" s="1"/>
  <c r="AY86" i="9"/>
  <c r="AY99" i="9" s="1"/>
  <c r="AU8" i="32"/>
  <c r="AW22" i="32"/>
  <c r="AV22" i="32"/>
  <c r="AX22" i="32"/>
  <c r="AU12" i="11"/>
  <c r="AU34" i="11" s="1"/>
  <c r="AU52" i="9"/>
  <c r="AU60" i="9" s="1"/>
  <c r="AU61" i="9" s="1"/>
  <c r="AU69" i="9"/>
  <c r="AU77" i="9" s="1"/>
  <c r="AU78" i="9" s="1"/>
  <c r="AU85" i="9"/>
  <c r="AU87" i="9" s="1"/>
  <c r="AU92" i="9"/>
  <c r="AU94" i="9" s="1"/>
  <c r="D12" i="11" a="1"/>
  <c r="D8" i="32" a="1"/>
  <c r="D15" i="8" a="1"/>
  <c r="AY43" i="34" l="1"/>
  <c r="AY37" i="34"/>
  <c r="AY38" i="34" s="1"/>
  <c r="AY41" i="34" s="1"/>
  <c r="AY42" i="34" s="1"/>
  <c r="D8" i="32"/>
  <c r="D15" i="8"/>
  <c r="AU21" i="32"/>
  <c r="AU22" i="32" s="1"/>
  <c r="AU36" i="8"/>
  <c r="AX28" i="8"/>
  <c r="AV90" i="9"/>
  <c r="AV92" i="9" s="1"/>
  <c r="AV94" i="9" s="1"/>
  <c r="AV83" i="9"/>
  <c r="AW28" i="8"/>
  <c r="AV28" i="8"/>
  <c r="AY22" i="32"/>
  <c r="D12" i="11"/>
  <c r="AU54" i="9"/>
  <c r="AU55" i="9" s="1"/>
  <c r="AU71" i="9"/>
  <c r="AU72" i="9" s="1"/>
  <c r="AU62" i="9"/>
  <c r="AU63" i="9" s="1"/>
  <c r="AV58" i="9" s="1"/>
  <c r="AU79" i="9"/>
  <c r="AU80" i="9" s="1"/>
  <c r="AV75" i="9" s="1"/>
  <c r="AY39" i="34" l="1"/>
  <c r="I36" i="32" a="1"/>
  <c r="AG44" i="32" s="1"/>
  <c r="AV85" i="9"/>
  <c r="AV87" i="9" s="1"/>
  <c r="AW83" i="9" s="1"/>
  <c r="AW90" i="9"/>
  <c r="AW92" i="9" s="1"/>
  <c r="AW94" i="9" s="1"/>
  <c r="AY28" i="8"/>
  <c r="AU28" i="8"/>
  <c r="AU97" i="9"/>
  <c r="AU98" i="9"/>
  <c r="AU73" i="9"/>
  <c r="AV66" i="9" s="1"/>
  <c r="AU56" i="9"/>
  <c r="AV49" i="9" s="1"/>
  <c r="AV76" i="9"/>
  <c r="AV70" i="9" s="1"/>
  <c r="AV59" i="9"/>
  <c r="AV53" i="9" s="1"/>
  <c r="AI46" i="32" l="1"/>
  <c r="Z37" i="32"/>
  <c r="AY39" i="32"/>
  <c r="AI40" i="32"/>
  <c r="AV45" i="32"/>
  <c r="AT46" i="32"/>
  <c r="AP42" i="32"/>
  <c r="AL40" i="32"/>
  <c r="AY56" i="32"/>
  <c r="AM39" i="32"/>
  <c r="AN49" i="32"/>
  <c r="AY57" i="32"/>
  <c r="AH44" i="32"/>
  <c r="AW52" i="32"/>
  <c r="AU40" i="32"/>
  <c r="AN44" i="32"/>
  <c r="AX37" i="32"/>
  <c r="AN43" i="32"/>
  <c r="AW55" i="32"/>
  <c r="AO42" i="32"/>
  <c r="AL39" i="32"/>
  <c r="AL45" i="32"/>
  <c r="AP45" i="32"/>
  <c r="AF38" i="32"/>
  <c r="AP49" i="32"/>
  <c r="AL48" i="32"/>
  <c r="I75" i="32"/>
  <c r="AS75" i="32" s="1"/>
  <c r="AQ54" i="32"/>
  <c r="AF37" i="32"/>
  <c r="AN37" i="32"/>
  <c r="AQ44" i="32"/>
  <c r="AT52" i="32"/>
  <c r="AX46" i="32"/>
  <c r="AX41" i="32"/>
  <c r="AQ46" i="32"/>
  <c r="I86" i="32"/>
  <c r="AY86" i="32" s="1"/>
  <c r="I67" i="32"/>
  <c r="AV67" i="32" s="1"/>
  <c r="AM42" i="32"/>
  <c r="AT54" i="32"/>
  <c r="AW58" i="32"/>
  <c r="AP48" i="32"/>
  <c r="AA37" i="32"/>
  <c r="AP43" i="32"/>
  <c r="AC40" i="32"/>
  <c r="AD38" i="32"/>
  <c r="AW57" i="32"/>
  <c r="AQ37" i="32"/>
  <c r="AQ39" i="32"/>
  <c r="AX45" i="32"/>
  <c r="AY41" i="32"/>
  <c r="I92" i="32"/>
  <c r="AY92" i="32" s="1"/>
  <c r="AS48" i="32"/>
  <c r="AN45" i="32"/>
  <c r="AY37" i="32"/>
  <c r="AU39" i="32"/>
  <c r="AY53" i="32"/>
  <c r="I68" i="32"/>
  <c r="AA68" i="32" s="1"/>
  <c r="AO50" i="32"/>
  <c r="AJ37" i="32"/>
  <c r="AY54" i="32"/>
  <c r="AF40" i="32"/>
  <c r="AX55" i="32"/>
  <c r="AT49" i="32"/>
  <c r="AC37" i="32"/>
  <c r="AI45" i="32"/>
  <c r="AE41" i="32"/>
  <c r="AV51" i="32"/>
  <c r="AI39" i="32"/>
  <c r="AT53" i="32"/>
  <c r="AI41" i="32"/>
  <c r="AS43" i="32"/>
  <c r="AU46" i="32"/>
  <c r="AX40" i="32"/>
  <c r="AM49" i="32"/>
  <c r="AQ47" i="32"/>
  <c r="AP51" i="32"/>
  <c r="I71" i="32"/>
  <c r="AO71" i="32" s="1"/>
  <c r="AV42" i="32"/>
  <c r="AJ41" i="32"/>
  <c r="AW48" i="32"/>
  <c r="I78" i="32"/>
  <c r="AY78" i="32" s="1"/>
  <c r="AL43" i="32"/>
  <c r="AR45" i="32"/>
  <c r="AX39" i="32"/>
  <c r="AW40" i="32"/>
  <c r="AX44" i="32"/>
  <c r="AY45" i="32"/>
  <c r="AU42" i="32"/>
  <c r="AV48" i="32"/>
  <c r="AY47" i="32"/>
  <c r="AS53" i="32"/>
  <c r="AO40" i="32"/>
  <c r="AQ40" i="32"/>
  <c r="AG40" i="32"/>
  <c r="AS49" i="32"/>
  <c r="AM40" i="32"/>
  <c r="AJ46" i="32"/>
  <c r="I77" i="32"/>
  <c r="AW77" i="32" s="1"/>
  <c r="I85" i="32"/>
  <c r="AV85" i="32" s="1"/>
  <c r="AY52" i="32"/>
  <c r="AQ49" i="32"/>
  <c r="AD37" i="32"/>
  <c r="AV53" i="32"/>
  <c r="AF43" i="32"/>
  <c r="AG41" i="32"/>
  <c r="AY51" i="32"/>
  <c r="AO39" i="32"/>
  <c r="AD39" i="32"/>
  <c r="AS46" i="32"/>
  <c r="AP40" i="32"/>
  <c r="AS56" i="32"/>
  <c r="AR48" i="32"/>
  <c r="AW46" i="32"/>
  <c r="AM44" i="32"/>
  <c r="AF42" i="32"/>
  <c r="AX57" i="32"/>
  <c r="I91" i="32"/>
  <c r="AY91" i="32" s="1"/>
  <c r="AK40" i="32"/>
  <c r="AR46" i="32"/>
  <c r="AU53" i="32"/>
  <c r="AT51" i="32"/>
  <c r="AY59" i="32"/>
  <c r="AS54" i="32"/>
  <c r="I87" i="32"/>
  <c r="AW87" i="32" s="1"/>
  <c r="AL44" i="32"/>
  <c r="AJ40" i="32"/>
  <c r="AT56" i="32"/>
  <c r="I93" i="32"/>
  <c r="AP50" i="32"/>
  <c r="AS37" i="32"/>
  <c r="AT38" i="32"/>
  <c r="AK43" i="32"/>
  <c r="AP39" i="32"/>
  <c r="AS44" i="32"/>
  <c r="AK41" i="32"/>
  <c r="AU38" i="32"/>
  <c r="AL37" i="32"/>
  <c r="AU56" i="32"/>
  <c r="AH38" i="32"/>
  <c r="AY61" i="32"/>
  <c r="AU52" i="32"/>
  <c r="AU41" i="32"/>
  <c r="AO37" i="32"/>
  <c r="AW44" i="32"/>
  <c r="AY60" i="32"/>
  <c r="AL46" i="32"/>
  <c r="AW37" i="32"/>
  <c r="AX54" i="32"/>
  <c r="AV37" i="32"/>
  <c r="AL49" i="32"/>
  <c r="AX53" i="32"/>
  <c r="AX51" i="32"/>
  <c r="AP41" i="32"/>
  <c r="I80" i="32"/>
  <c r="AP80" i="32" s="1"/>
  <c r="AN39" i="32"/>
  <c r="AV57" i="32"/>
  <c r="AF41" i="32"/>
  <c r="AW39" i="32"/>
  <c r="AJ38" i="32"/>
  <c r="I90" i="32"/>
  <c r="AW90" i="32" s="1"/>
  <c r="AK38" i="32"/>
  <c r="AY44" i="32"/>
  <c r="AD40" i="32"/>
  <c r="AC38" i="32"/>
  <c r="AT55" i="32"/>
  <c r="I84" i="32"/>
  <c r="AX84" i="32" s="1"/>
  <c r="AJ44" i="32"/>
  <c r="AL42" i="32"/>
  <c r="AV52" i="32"/>
  <c r="AO47" i="32"/>
  <c r="AU55" i="32"/>
  <c r="AW50" i="32"/>
  <c r="AS52" i="32"/>
  <c r="AS40" i="32"/>
  <c r="AO48" i="32"/>
  <c r="AX43" i="32"/>
  <c r="AN42" i="32"/>
  <c r="AJ42" i="32"/>
  <c r="AN51" i="32"/>
  <c r="AV47" i="32"/>
  <c r="AT42" i="32"/>
  <c r="AU49" i="32"/>
  <c r="AK47" i="32"/>
  <c r="AY38" i="32"/>
  <c r="AM43" i="32"/>
  <c r="AD41" i="32"/>
  <c r="AS47" i="32"/>
  <c r="AV43" i="32"/>
  <c r="AR38" i="32"/>
  <c r="AM47" i="32"/>
  <c r="AN41" i="32"/>
  <c r="AM38" i="32"/>
  <c r="AW41" i="32"/>
  <c r="AR42" i="32"/>
  <c r="AI38" i="32"/>
  <c r="AO44" i="32"/>
  <c r="AV49" i="32"/>
  <c r="AN48" i="32"/>
  <c r="I36" i="32"/>
  <c r="AP36" i="32" s="1"/>
  <c r="AT39" i="32"/>
  <c r="AT43" i="32"/>
  <c r="AQ38" i="32"/>
  <c r="AR39" i="32"/>
  <c r="AH41" i="32"/>
  <c r="AM37" i="32"/>
  <c r="AG38" i="32"/>
  <c r="AI43" i="32"/>
  <c r="AU50" i="32"/>
  <c r="AW45" i="32"/>
  <c r="AQ42" i="32"/>
  <c r="AU58" i="32"/>
  <c r="AW53" i="32"/>
  <c r="AU37" i="32"/>
  <c r="AW59" i="32"/>
  <c r="AK37" i="32"/>
  <c r="AR37" i="32"/>
  <c r="AV54" i="32"/>
  <c r="AB39" i="32"/>
  <c r="AH37" i="32"/>
  <c r="AX60" i="32"/>
  <c r="AV46" i="32"/>
  <c r="AY58" i="32"/>
  <c r="AP37" i="32"/>
  <c r="I79" i="32"/>
  <c r="AU79" i="32" s="1"/>
  <c r="AX56" i="32"/>
  <c r="AG43" i="32"/>
  <c r="AS41" i="32"/>
  <c r="AT45" i="32"/>
  <c r="AR43" i="32"/>
  <c r="I72" i="32"/>
  <c r="AT72" i="32" s="1"/>
  <c r="AV41" i="32"/>
  <c r="I89" i="32"/>
  <c r="AV89" i="32" s="1"/>
  <c r="AW54" i="32"/>
  <c r="AG37" i="32"/>
  <c r="I81" i="32"/>
  <c r="AN81" i="32" s="1"/>
  <c r="AN46" i="32"/>
  <c r="AN40" i="32"/>
  <c r="AX58" i="32"/>
  <c r="AP47" i="32"/>
  <c r="AO45" i="32"/>
  <c r="AR54" i="32"/>
  <c r="AH40" i="32"/>
  <c r="AT41" i="32"/>
  <c r="AT47" i="32"/>
  <c r="AS39" i="32"/>
  <c r="AY49" i="32"/>
  <c r="AI42" i="32"/>
  <c r="AY50" i="32"/>
  <c r="AW42" i="32"/>
  <c r="AG42" i="32"/>
  <c r="AV56" i="32"/>
  <c r="AX59" i="32"/>
  <c r="AW43" i="32"/>
  <c r="AK45" i="32"/>
  <c r="AT50" i="32"/>
  <c r="AP53" i="32"/>
  <c r="AX42" i="32"/>
  <c r="AW38" i="32"/>
  <c r="AU54" i="32"/>
  <c r="AK44" i="32"/>
  <c r="AH43" i="32"/>
  <c r="AR40" i="32"/>
  <c r="AH45" i="32"/>
  <c r="I82" i="32"/>
  <c r="AV82" i="32" s="1"/>
  <c r="AJ43" i="32"/>
  <c r="AL38" i="32"/>
  <c r="AY48" i="32"/>
  <c r="I83" i="32"/>
  <c r="AS83" i="32" s="1"/>
  <c r="AF39" i="32"/>
  <c r="AX61" i="32"/>
  <c r="AS50" i="32"/>
  <c r="AB37" i="32"/>
  <c r="AN38" i="32"/>
  <c r="AT48" i="32"/>
  <c r="AV40" i="32"/>
  <c r="I76" i="32"/>
  <c r="AI76" i="32" s="1"/>
  <c r="AU57" i="32"/>
  <c r="AV38" i="32"/>
  <c r="AN50" i="32"/>
  <c r="AO51" i="32"/>
  <c r="AT37" i="32"/>
  <c r="AM50" i="32"/>
  <c r="AU45" i="32"/>
  <c r="AW49" i="32"/>
  <c r="AX52" i="32"/>
  <c r="AQ51" i="32"/>
  <c r="I88" i="32"/>
  <c r="AU88" i="32" s="1"/>
  <c r="AX48" i="32"/>
  <c r="AV50" i="32"/>
  <c r="AY46" i="32"/>
  <c r="AO43" i="32"/>
  <c r="AY62" i="32"/>
  <c r="AB38" i="32"/>
  <c r="AV39" i="32"/>
  <c r="I69" i="32"/>
  <c r="AD69" i="32" s="1"/>
  <c r="AR52" i="32"/>
  <c r="AY55" i="32"/>
  <c r="AX49" i="32"/>
  <c r="AY40" i="32"/>
  <c r="AH42" i="32"/>
  <c r="AW47" i="32"/>
  <c r="AE39" i="32"/>
  <c r="AM48" i="32"/>
  <c r="AU48" i="32"/>
  <c r="AO46" i="32"/>
  <c r="AQ50" i="32"/>
  <c r="I74" i="32"/>
  <c r="AO74" i="32" s="1"/>
  <c r="AG39" i="32"/>
  <c r="AN47" i="32"/>
  <c r="AU44" i="32"/>
  <c r="AL41" i="32"/>
  <c r="AY43" i="32"/>
  <c r="AI44" i="32"/>
  <c r="AS55" i="32"/>
  <c r="AE37" i="32"/>
  <c r="AR47" i="32"/>
  <c r="AQ52" i="32"/>
  <c r="I70" i="32"/>
  <c r="AH70" i="32" s="1"/>
  <c r="AR50" i="32"/>
  <c r="AQ48" i="32"/>
  <c r="AI37" i="32"/>
  <c r="AS42" i="32"/>
  <c r="AX47" i="32"/>
  <c r="AJ39" i="32"/>
  <c r="AV59" i="32"/>
  <c r="AO38" i="32"/>
  <c r="AQ53" i="32"/>
  <c r="AS51" i="32"/>
  <c r="AP46" i="32"/>
  <c r="AR41" i="32"/>
  <c r="AP38" i="32"/>
  <c r="AX50" i="32"/>
  <c r="AK42" i="32"/>
  <c r="AO49" i="32"/>
  <c r="AL47" i="32"/>
  <c r="AW51" i="32"/>
  <c r="AW56" i="32"/>
  <c r="AK39" i="32"/>
  <c r="AY42" i="32"/>
  <c r="AX38" i="32"/>
  <c r="AR51" i="32"/>
  <c r="AH39" i="32"/>
  <c r="AQ41" i="32"/>
  <c r="AV58" i="32"/>
  <c r="AO52" i="32"/>
  <c r="I73" i="32"/>
  <c r="AS73" i="32" s="1"/>
  <c r="AV55" i="32"/>
  <c r="AR49" i="32"/>
  <c r="AS38" i="32"/>
  <c r="AT44" i="32"/>
  <c r="AW60" i="32"/>
  <c r="AQ45" i="32"/>
  <c r="AE40" i="32"/>
  <c r="AM45" i="32"/>
  <c r="AQ43" i="32"/>
  <c r="AT57" i="32"/>
  <c r="AC39" i="32"/>
  <c r="AT40" i="32"/>
  <c r="AP52" i="32"/>
  <c r="AK48" i="32"/>
  <c r="AE38" i="32"/>
  <c r="AR44" i="32"/>
  <c r="AJ45" i="32"/>
  <c r="AM46" i="32"/>
  <c r="AV44" i="32"/>
  <c r="AS45" i="32"/>
  <c r="AJ47" i="32"/>
  <c r="AA38" i="32"/>
  <c r="AO41" i="32"/>
  <c r="AU51" i="32"/>
  <c r="AU47" i="32"/>
  <c r="AE42" i="32"/>
  <c r="AR55" i="32"/>
  <c r="AP44" i="32"/>
  <c r="AM41" i="32"/>
  <c r="AU43" i="32"/>
  <c r="AK46" i="32"/>
  <c r="AR53" i="32"/>
  <c r="AW85" i="9"/>
  <c r="AW87" i="9" s="1"/>
  <c r="AX83" i="9" s="1"/>
  <c r="AX90" i="9"/>
  <c r="AX92" i="9" s="1"/>
  <c r="AX94" i="9" s="1"/>
  <c r="AU101" i="9"/>
  <c r="AU46" i="40" s="1" a="1"/>
  <c r="AU46" i="40" s="1"/>
  <c r="AV61" i="9"/>
  <c r="AV62" i="9" s="1"/>
  <c r="AV63" i="9" s="1"/>
  <c r="AW58" i="9" s="1"/>
  <c r="AV78" i="9"/>
  <c r="AV79" i="9" s="1"/>
  <c r="AV80" i="9" s="1"/>
  <c r="AW75" i="9" s="1"/>
  <c r="AV54" i="9"/>
  <c r="AV71" i="9"/>
  <c r="AP75" i="32" l="1"/>
  <c r="AR83" i="32"/>
  <c r="AW83" i="32"/>
  <c r="AU75" i="32"/>
  <c r="AW86" i="32"/>
  <c r="AY87" i="32"/>
  <c r="AV87" i="32"/>
  <c r="AT67" i="32"/>
  <c r="AX87" i="32"/>
  <c r="AT87" i="32"/>
  <c r="AU87" i="32"/>
  <c r="AC67" i="32"/>
  <c r="AX86" i="32"/>
  <c r="AV86" i="32"/>
  <c r="AU86" i="32"/>
  <c r="AW76" i="32"/>
  <c r="AM76" i="32"/>
  <c r="AT86" i="32"/>
  <c r="AS76" i="32"/>
  <c r="AS86" i="32"/>
  <c r="AH74" i="32"/>
  <c r="AK76" i="32"/>
  <c r="AU76" i="32"/>
  <c r="AU83" i="32"/>
  <c r="AN76" i="32"/>
  <c r="AV76" i="32"/>
  <c r="AQ83" i="32"/>
  <c r="AY76" i="32"/>
  <c r="AT76" i="32"/>
  <c r="AV83" i="32"/>
  <c r="AP76" i="32"/>
  <c r="AY83" i="32"/>
  <c r="AJ76" i="32"/>
  <c r="AP83" i="32"/>
  <c r="AX76" i="32"/>
  <c r="AL76" i="32"/>
  <c r="AT83" i="32"/>
  <c r="AD67" i="32"/>
  <c r="AI71" i="32"/>
  <c r="AF71" i="32"/>
  <c r="AK71" i="32"/>
  <c r="AJ67" i="32"/>
  <c r="AS67" i="32"/>
  <c r="AM71" i="32"/>
  <c r="AU67" i="32"/>
  <c r="AA67" i="32"/>
  <c r="AU71" i="32"/>
  <c r="AN67" i="32"/>
  <c r="AG67" i="32"/>
  <c r="AW71" i="32"/>
  <c r="AY71" i="32"/>
  <c r="Z67" i="32"/>
  <c r="AI67" i="32"/>
  <c r="AH71" i="32"/>
  <c r="AS71" i="32"/>
  <c r="AR67" i="32"/>
  <c r="AX71" i="32"/>
  <c r="AB67" i="32"/>
  <c r="AJ71" i="32"/>
  <c r="AP67" i="32"/>
  <c r="AQ67" i="32"/>
  <c r="AD71" i="32"/>
  <c r="AX67" i="32"/>
  <c r="AM67" i="32"/>
  <c r="AN71" i="32"/>
  <c r="AQ71" i="32"/>
  <c r="AX91" i="32"/>
  <c r="I124" i="32" s="1"/>
  <c r="AQ76" i="32"/>
  <c r="AR76" i="32"/>
  <c r="AX83" i="32"/>
  <c r="AF67" i="32"/>
  <c r="AY67" i="32"/>
  <c r="AL67" i="32"/>
  <c r="AO67" i="32"/>
  <c r="AE71" i="32"/>
  <c r="AL71" i="32"/>
  <c r="AH67" i="32"/>
  <c r="AG71" i="32"/>
  <c r="AO76" i="32"/>
  <c r="AE67" i="32"/>
  <c r="AW67" i="32"/>
  <c r="AK67" i="32"/>
  <c r="AP71" i="32"/>
  <c r="AV71" i="32"/>
  <c r="AF70" i="32"/>
  <c r="AR71" i="32"/>
  <c r="AT71" i="32"/>
  <c r="I125" i="32"/>
  <c r="AD125" i="32" s="1"/>
  <c r="AN74" i="32"/>
  <c r="AQ74" i="32"/>
  <c r="AY85" i="32"/>
  <c r="AX81" i="32"/>
  <c r="AR74" i="32"/>
  <c r="AN75" i="32"/>
  <c r="AY75" i="32"/>
  <c r="AU74" i="32"/>
  <c r="AT74" i="32"/>
  <c r="AX85" i="32"/>
  <c r="AN77" i="32"/>
  <c r="AR81" i="32"/>
  <c r="AW85" i="32"/>
  <c r="AJ75" i="32"/>
  <c r="AX75" i="32"/>
  <c r="AO75" i="32"/>
  <c r="AW74" i="32"/>
  <c r="AL74" i="32"/>
  <c r="AU85" i="32"/>
  <c r="AX77" i="32"/>
  <c r="AU81" i="32"/>
  <c r="AR75" i="32"/>
  <c r="AQ81" i="32"/>
  <c r="AX73" i="32"/>
  <c r="AK75" i="32"/>
  <c r="AW75" i="32"/>
  <c r="AQ75" i="32"/>
  <c r="AX74" i="32"/>
  <c r="AV74" i="32"/>
  <c r="AS85" i="32"/>
  <c r="AV81" i="32"/>
  <c r="AP81" i="32"/>
  <c r="AG74" i="32"/>
  <c r="AL75" i="32"/>
  <c r="AI74" i="32"/>
  <c r="AT85" i="32"/>
  <c r="AT81" i="32"/>
  <c r="AK74" i="32"/>
  <c r="AF73" i="32"/>
  <c r="AM74" i="32"/>
  <c r="AY81" i="32"/>
  <c r="AH75" i="32"/>
  <c r="AI75" i="32"/>
  <c r="AT80" i="32"/>
  <c r="AY74" i="32"/>
  <c r="AS74" i="32"/>
  <c r="AR85" i="32"/>
  <c r="AS81" i="32"/>
  <c r="AW81" i="32"/>
  <c r="AM75" i="32"/>
  <c r="AV75" i="32"/>
  <c r="AY80" i="32"/>
  <c r="AT75" i="32"/>
  <c r="AJ74" i="32"/>
  <c r="AP74" i="32"/>
  <c r="AO81" i="32"/>
  <c r="AT70" i="32"/>
  <c r="AG72" i="32"/>
  <c r="AR70" i="32"/>
  <c r="AO72" i="32"/>
  <c r="AH72" i="32"/>
  <c r="AU84" i="32"/>
  <c r="AU72" i="32"/>
  <c r="AV84" i="32"/>
  <c r="AW70" i="32"/>
  <c r="AS72" i="32"/>
  <c r="AP70" i="32"/>
  <c r="AE70" i="32"/>
  <c r="AL70" i="32"/>
  <c r="AC70" i="32"/>
  <c r="AK70" i="32"/>
  <c r="AP72" i="32"/>
  <c r="AR72" i="32"/>
  <c r="AS84" i="32"/>
  <c r="AG70" i="32"/>
  <c r="AQ70" i="32"/>
  <c r="AY70" i="32"/>
  <c r="AN72" i="32"/>
  <c r="AM72" i="32"/>
  <c r="AQ84" i="32"/>
  <c r="AV70" i="32"/>
  <c r="AM70" i="32"/>
  <c r="AD70" i="32"/>
  <c r="AQ72" i="32"/>
  <c r="AX72" i="32"/>
  <c r="AY72" i="32"/>
  <c r="AT84" i="32"/>
  <c r="AJ70" i="32"/>
  <c r="AU70" i="32"/>
  <c r="AO70" i="32"/>
  <c r="AF72" i="32"/>
  <c r="AJ72" i="32"/>
  <c r="AE72" i="32"/>
  <c r="AR84" i="32"/>
  <c r="AS70" i="32"/>
  <c r="AX70" i="32"/>
  <c r="AV72" i="32"/>
  <c r="AI72" i="32"/>
  <c r="AK72" i="32"/>
  <c r="AY84" i="32"/>
  <c r="AW84" i="32"/>
  <c r="AI70" i="32"/>
  <c r="AN70" i="32"/>
  <c r="AL72" i="32"/>
  <c r="AW72" i="32"/>
  <c r="AK69" i="32"/>
  <c r="AH69" i="32"/>
  <c r="AM69" i="32"/>
  <c r="AV88" i="32"/>
  <c r="AI69" i="32"/>
  <c r="AQ69" i="32"/>
  <c r="AW69" i="32"/>
  <c r="AK36" i="32"/>
  <c r="AC36" i="32"/>
  <c r="AH36" i="32"/>
  <c r="AN36" i="32"/>
  <c r="AN69" i="32"/>
  <c r="AO69" i="32"/>
  <c r="AP69" i="32"/>
  <c r="I66" i="32"/>
  <c r="AS66" i="32" s="1"/>
  <c r="AB36" i="32"/>
  <c r="AW36" i="32"/>
  <c r="AX88" i="32"/>
  <c r="AJ69" i="32"/>
  <c r="AG69" i="32"/>
  <c r="AE69" i="32"/>
  <c r="AR36" i="32"/>
  <c r="AX36" i="32"/>
  <c r="AF36" i="32"/>
  <c r="AI36" i="32"/>
  <c r="AW88" i="32"/>
  <c r="AF69" i="32"/>
  <c r="AU69" i="32"/>
  <c r="AV69" i="32"/>
  <c r="AT36" i="32"/>
  <c r="AJ36" i="32"/>
  <c r="AM36" i="32"/>
  <c r="AQ36" i="32"/>
  <c r="AY88" i="32"/>
  <c r="AE36" i="32"/>
  <c r="AR69" i="32"/>
  <c r="AY69" i="32"/>
  <c r="AL69" i="32"/>
  <c r="AG36" i="32"/>
  <c r="AL36" i="32"/>
  <c r="AY36" i="32"/>
  <c r="AS36" i="32"/>
  <c r="AA36" i="32"/>
  <c r="AT69" i="32"/>
  <c r="AB69" i="32"/>
  <c r="AC69" i="32"/>
  <c r="AU36" i="32"/>
  <c r="AD36" i="32"/>
  <c r="AO36" i="32"/>
  <c r="AV36" i="32"/>
  <c r="AX69" i="32"/>
  <c r="AS69" i="32"/>
  <c r="Z36" i="32"/>
  <c r="Y36" i="32"/>
  <c r="AX79" i="32"/>
  <c r="AO82" i="32"/>
  <c r="AX82" i="32"/>
  <c r="AL79" i="32"/>
  <c r="AS82" i="32"/>
  <c r="AY89" i="32"/>
  <c r="AX89" i="32"/>
  <c r="AT79" i="32"/>
  <c r="AM79" i="32"/>
  <c r="AS78" i="32"/>
  <c r="AQ78" i="32"/>
  <c r="AT82" i="32"/>
  <c r="AY79" i="32"/>
  <c r="AW89" i="32"/>
  <c r="AY82" i="32"/>
  <c r="AV79" i="32"/>
  <c r="AY90" i="32"/>
  <c r="AD68" i="32"/>
  <c r="AW82" i="32"/>
  <c r="AW79" i="32"/>
  <c r="AR79" i="32"/>
  <c r="AX90" i="32"/>
  <c r="AC68" i="32"/>
  <c r="AP78" i="32"/>
  <c r="AQ82" i="32"/>
  <c r="AS79" i="32"/>
  <c r="AP79" i="32"/>
  <c r="AF68" i="32"/>
  <c r="AR82" i="32"/>
  <c r="AP82" i="32"/>
  <c r="AN79" i="32"/>
  <c r="AQ79" i="32"/>
  <c r="AO78" i="32"/>
  <c r="AU82" i="32"/>
  <c r="AO79" i="32"/>
  <c r="AJ73" i="32"/>
  <c r="AN80" i="32"/>
  <c r="AO80" i="32"/>
  <c r="AQ77" i="32"/>
  <c r="AM77" i="32"/>
  <c r="AQ73" i="32"/>
  <c r="AG73" i="32"/>
  <c r="AX80" i="32"/>
  <c r="AQ80" i="32"/>
  <c r="AR77" i="32"/>
  <c r="AP77" i="32"/>
  <c r="AP73" i="32"/>
  <c r="AK73" i="32"/>
  <c r="AM80" i="32"/>
  <c r="AO77" i="32"/>
  <c r="AK77" i="32"/>
  <c r="AT73" i="32"/>
  <c r="AY73" i="32"/>
  <c r="AI73" i="32"/>
  <c r="AR80" i="32"/>
  <c r="AL77" i="32"/>
  <c r="AY77" i="32"/>
  <c r="AL73" i="32"/>
  <c r="AH73" i="32"/>
  <c r="AM73" i="32"/>
  <c r="AU80" i="32"/>
  <c r="AS77" i="32"/>
  <c r="AV77" i="32"/>
  <c r="AW73" i="32"/>
  <c r="AV73" i="32"/>
  <c r="AU73" i="32"/>
  <c r="AW80" i="32"/>
  <c r="AV80" i="32"/>
  <c r="AU77" i="32"/>
  <c r="AT77" i="32"/>
  <c r="AO73" i="32"/>
  <c r="AR73" i="32"/>
  <c r="AN73" i="32"/>
  <c r="AS80" i="32"/>
  <c r="AJ77" i="32"/>
  <c r="AE68" i="32"/>
  <c r="AX68" i="32"/>
  <c r="AK68" i="32"/>
  <c r="AN78" i="32"/>
  <c r="AV78" i="32"/>
  <c r="AL68" i="32"/>
  <c r="AH68" i="32"/>
  <c r="AT68" i="32"/>
  <c r="AT78" i="32"/>
  <c r="AW68" i="32"/>
  <c r="AN68" i="32"/>
  <c r="AR68" i="32"/>
  <c r="AM78" i="32"/>
  <c r="AU78" i="32"/>
  <c r="AK78" i="32"/>
  <c r="AO68" i="32"/>
  <c r="AY68" i="32"/>
  <c r="AJ68" i="32"/>
  <c r="AW78" i="32"/>
  <c r="AQ68" i="32"/>
  <c r="AP68" i="32"/>
  <c r="AG68" i="32"/>
  <c r="AL78" i="32"/>
  <c r="AX78" i="32"/>
  <c r="AV68" i="32"/>
  <c r="AB68" i="32"/>
  <c r="AU68" i="32"/>
  <c r="AS68" i="32"/>
  <c r="AR78" i="32"/>
  <c r="AI68" i="32"/>
  <c r="AM68" i="32"/>
  <c r="AU65" i="40"/>
  <c r="AX85" i="9"/>
  <c r="AX87" i="9" s="1"/>
  <c r="AY83" i="9" s="1"/>
  <c r="AY90" i="9"/>
  <c r="AY92" i="9" s="1"/>
  <c r="AY94" i="9" s="1"/>
  <c r="AU13" i="11"/>
  <c r="AV72" i="9"/>
  <c r="AV98" i="9" s="1"/>
  <c r="AV55" i="9"/>
  <c r="AV97" i="9" s="1"/>
  <c r="AW59" i="9"/>
  <c r="AW53" i="9" s="1"/>
  <c r="AW76" i="9"/>
  <c r="AW70" i="9" s="1"/>
  <c r="D13" i="11" a="1"/>
  <c r="I119" i="32" l="1"/>
  <c r="AV119" i="32" s="1"/>
  <c r="I120" i="32"/>
  <c r="AV120" i="32" s="1"/>
  <c r="I116" i="32"/>
  <c r="AP116" i="32" s="1"/>
  <c r="I109" i="32"/>
  <c r="Y109" i="32" s="1"/>
  <c r="AT125" i="32"/>
  <c r="I122" i="32"/>
  <c r="AS122" i="32" s="1"/>
  <c r="AN125" i="32"/>
  <c r="AU125" i="32"/>
  <c r="Y125" i="32"/>
  <c r="AK125" i="32"/>
  <c r="AJ125" i="32"/>
  <c r="AM125" i="32"/>
  <c r="I100" i="32"/>
  <c r="AI100" i="32" s="1"/>
  <c r="AO125" i="32"/>
  <c r="AP125" i="32"/>
  <c r="AG125" i="32"/>
  <c r="AH125" i="32"/>
  <c r="AV125" i="32"/>
  <c r="AW125" i="32"/>
  <c r="AS125" i="32"/>
  <c r="Z125" i="32"/>
  <c r="AA125" i="32"/>
  <c r="AR125" i="32"/>
  <c r="AQ125" i="32"/>
  <c r="AX125" i="32"/>
  <c r="AI125" i="32"/>
  <c r="AL125" i="32"/>
  <c r="AY125" i="32"/>
  <c r="AC125" i="32"/>
  <c r="AF125" i="32"/>
  <c r="AE125" i="32"/>
  <c r="AB125" i="32"/>
  <c r="I104" i="32"/>
  <c r="AU104" i="32" s="1"/>
  <c r="I108" i="32"/>
  <c r="AR108" i="32" s="1"/>
  <c r="I123" i="32"/>
  <c r="AK123" i="32" s="1"/>
  <c r="I118" i="32"/>
  <c r="Y118" i="32" s="1"/>
  <c r="I107" i="32"/>
  <c r="AK107" i="32" s="1"/>
  <c r="I114" i="32"/>
  <c r="AY114" i="32" s="1"/>
  <c r="I103" i="32"/>
  <c r="AE103" i="32" s="1"/>
  <c r="I117" i="32"/>
  <c r="Y117" i="32" s="1"/>
  <c r="I121" i="32"/>
  <c r="AS121" i="32" s="1"/>
  <c r="AI66" i="32"/>
  <c r="AP66" i="32"/>
  <c r="AE66" i="32"/>
  <c r="I105" i="32"/>
  <c r="AO105" i="32" s="1"/>
  <c r="AA66" i="32"/>
  <c r="AY66" i="32"/>
  <c r="AB66" i="32"/>
  <c r="AG66" i="32"/>
  <c r="AK66" i="32"/>
  <c r="AW66" i="32"/>
  <c r="I102" i="32"/>
  <c r="AC102" i="32" s="1"/>
  <c r="AJ66" i="32"/>
  <c r="AC66" i="32"/>
  <c r="AX66" i="32"/>
  <c r="AL66" i="32"/>
  <c r="AM66" i="32"/>
  <c r="AN66" i="32"/>
  <c r="AO66" i="32"/>
  <c r="AF66" i="32"/>
  <c r="Y66" i="32"/>
  <c r="Z66" i="32"/>
  <c r="AR66" i="32"/>
  <c r="AH66" i="32"/>
  <c r="AD66" i="32"/>
  <c r="AU66" i="32"/>
  <c r="AT66" i="32"/>
  <c r="AQ66" i="32"/>
  <c r="AV66" i="32"/>
  <c r="I115" i="32"/>
  <c r="AW115" i="32" s="1"/>
  <c r="I112" i="32"/>
  <c r="AJ112" i="32" s="1"/>
  <c r="I113" i="32"/>
  <c r="AQ113" i="32" s="1"/>
  <c r="I110" i="32"/>
  <c r="AN110" i="32" s="1"/>
  <c r="I106" i="32"/>
  <c r="AV106" i="32" s="1"/>
  <c r="I101" i="32"/>
  <c r="AN101" i="32" s="1"/>
  <c r="I111" i="32"/>
  <c r="AD111" i="32" s="1"/>
  <c r="AY85" i="9"/>
  <c r="AY87" i="9" s="1"/>
  <c r="AU35" i="11"/>
  <c r="AP124" i="32"/>
  <c r="AC124" i="32"/>
  <c r="AL124" i="32"/>
  <c r="AR124" i="32"/>
  <c r="AU124" i="32"/>
  <c r="AO124" i="32"/>
  <c r="AQ124" i="32"/>
  <c r="AK124" i="32"/>
  <c r="AV124" i="32"/>
  <c r="AT124" i="32"/>
  <c r="AI124" i="32"/>
  <c r="AD124" i="32"/>
  <c r="AM124" i="32"/>
  <c r="AY124" i="32"/>
  <c r="AH124" i="32"/>
  <c r="AN124" i="32"/>
  <c r="Z124" i="32"/>
  <c r="AG124" i="32"/>
  <c r="AJ124" i="32"/>
  <c r="AS124" i="32"/>
  <c r="AB124" i="32"/>
  <c r="AF124" i="32"/>
  <c r="AA124" i="32"/>
  <c r="Y124" i="32"/>
  <c r="AX124" i="32"/>
  <c r="AW124" i="32"/>
  <c r="AE124" i="32"/>
  <c r="D13" i="11"/>
  <c r="AV101" i="9"/>
  <c r="AW78" i="9"/>
  <c r="AW79" i="9" s="1"/>
  <c r="AW80" i="9" s="1"/>
  <c r="AX75" i="9" s="1"/>
  <c r="AW61" i="9"/>
  <c r="AW62" i="9" s="1"/>
  <c r="AW63" i="9" s="1"/>
  <c r="AX58" i="9" s="1"/>
  <c r="AV56" i="9"/>
  <c r="AW49" i="9" s="1"/>
  <c r="AV73" i="9"/>
  <c r="AJ119" i="32" l="1"/>
  <c r="AS119" i="32"/>
  <c r="AD119" i="32"/>
  <c r="AM119" i="32"/>
  <c r="AX119" i="32"/>
  <c r="AP119" i="32"/>
  <c r="AY119" i="32"/>
  <c r="AU119" i="32"/>
  <c r="AT119" i="32"/>
  <c r="AI119" i="32"/>
  <c r="AL119" i="32"/>
  <c r="AK119" i="32"/>
  <c r="Y119" i="32"/>
  <c r="AG119" i="32"/>
  <c r="AF119" i="32"/>
  <c r="AB119" i="32"/>
  <c r="AC119" i="32"/>
  <c r="AR119" i="32"/>
  <c r="AO119" i="32"/>
  <c r="Z119" i="32"/>
  <c r="AN119" i="32"/>
  <c r="AA119" i="32"/>
  <c r="AH119" i="32"/>
  <c r="AE119" i="32"/>
  <c r="AQ119" i="32"/>
  <c r="AW119" i="32"/>
  <c r="AY109" i="32"/>
  <c r="AO109" i="32"/>
  <c r="AW109" i="32"/>
  <c r="AQ122" i="32"/>
  <c r="AK116" i="32"/>
  <c r="AG116" i="32"/>
  <c r="AX116" i="32"/>
  <c r="AV116" i="32"/>
  <c r="AC122" i="32"/>
  <c r="AC116" i="32"/>
  <c r="AB122" i="32"/>
  <c r="AF116" i="32"/>
  <c r="AO122" i="32"/>
  <c r="AJ116" i="32"/>
  <c r="Y116" i="32"/>
  <c r="AD116" i="32"/>
  <c r="AU116" i="32"/>
  <c r="AI116" i="32"/>
  <c r="AH109" i="32"/>
  <c r="AS120" i="32"/>
  <c r="AG109" i="32"/>
  <c r="AL109" i="32"/>
  <c r="AE109" i="32"/>
  <c r="AU109" i="32"/>
  <c r="AB116" i="32"/>
  <c r="AN116" i="32"/>
  <c r="Z116" i="32"/>
  <c r="AQ116" i="32"/>
  <c r="AW116" i="32"/>
  <c r="AS116" i="32"/>
  <c r="AM116" i="32"/>
  <c r="AY116" i="32"/>
  <c r="AR116" i="32"/>
  <c r="AH116" i="32"/>
  <c r="AT116" i="32"/>
  <c r="AE120" i="32"/>
  <c r="AL116" i="32"/>
  <c r="AA116" i="32"/>
  <c r="AE116" i="32"/>
  <c r="AO116" i="32"/>
  <c r="AC109" i="32"/>
  <c r="AS109" i="32"/>
  <c r="Y120" i="32"/>
  <c r="AD120" i="32"/>
  <c r="AA120" i="32"/>
  <c r="AI120" i="32"/>
  <c r="AF120" i="32"/>
  <c r="AC120" i="32"/>
  <c r="AL120" i="32"/>
  <c r="AX120" i="32"/>
  <c r="AQ120" i="32"/>
  <c r="AG120" i="32"/>
  <c r="AM120" i="32"/>
  <c r="AO120" i="32"/>
  <c r="AY120" i="32"/>
  <c r="AU120" i="32"/>
  <c r="AR120" i="32"/>
  <c r="AK120" i="32"/>
  <c r="AP120" i="32"/>
  <c r="AB120" i="32"/>
  <c r="Z120" i="32"/>
  <c r="AH120" i="32"/>
  <c r="AT120" i="32"/>
  <c r="AW120" i="32"/>
  <c r="AJ120" i="32"/>
  <c r="AN120" i="32"/>
  <c r="AH122" i="32"/>
  <c r="AE122" i="32"/>
  <c r="AB107" i="32"/>
  <c r="AK103" i="32"/>
  <c r="AT100" i="32"/>
  <c r="AL107" i="32"/>
  <c r="AF100" i="32"/>
  <c r="AT109" i="32"/>
  <c r="AF109" i="32"/>
  <c r="AX109" i="32"/>
  <c r="AN109" i="32"/>
  <c r="AM109" i="32"/>
  <c r="AK109" i="32"/>
  <c r="AR109" i="32"/>
  <c r="AD109" i="32"/>
  <c r="Z109" i="32"/>
  <c r="AP109" i="32"/>
  <c r="AB109" i="32"/>
  <c r="AQ109" i="32"/>
  <c r="AA109" i="32"/>
  <c r="AV109" i="32"/>
  <c r="AJ109" i="32"/>
  <c r="AI109" i="32"/>
  <c r="AI104" i="32"/>
  <c r="AE104" i="32"/>
  <c r="AM104" i="32"/>
  <c r="AN104" i="32"/>
  <c r="AY104" i="32"/>
  <c r="AJ104" i="32"/>
  <c r="AR104" i="32"/>
  <c r="AF104" i="32"/>
  <c r="AD107" i="32"/>
  <c r="AH107" i="32"/>
  <c r="AS104" i="32"/>
  <c r="AG104" i="32"/>
  <c r="AP104" i="32"/>
  <c r="AT104" i="32"/>
  <c r="AC104" i="32"/>
  <c r="Y104" i="32"/>
  <c r="AO104" i="32"/>
  <c r="Z104" i="32"/>
  <c r="AX104" i="32"/>
  <c r="AD104" i="32"/>
  <c r="AL104" i="32"/>
  <c r="AH104" i="32"/>
  <c r="AA104" i="32"/>
  <c r="AV104" i="32"/>
  <c r="AW104" i="32"/>
  <c r="AB104" i="32"/>
  <c r="AK104" i="32"/>
  <c r="AQ104" i="32"/>
  <c r="AM108" i="32"/>
  <c r="AE108" i="32"/>
  <c r="AW108" i="32"/>
  <c r="AO108" i="32"/>
  <c r="AT108" i="32"/>
  <c r="AD108" i="32"/>
  <c r="Z108" i="32"/>
  <c r="AI108" i="32"/>
  <c r="AN123" i="32"/>
  <c r="AO101" i="32"/>
  <c r="AG108" i="32"/>
  <c r="AI105" i="32"/>
  <c r="AF101" i="32"/>
  <c r="AK108" i="32"/>
  <c r="AB123" i="32"/>
  <c r="AX123" i="32"/>
  <c r="AN108" i="32"/>
  <c r="AU123" i="32"/>
  <c r="AJ101" i="32"/>
  <c r="AB108" i="32"/>
  <c r="AX108" i="32"/>
  <c r="AL108" i="32"/>
  <c r="Y108" i="32"/>
  <c r="AC101" i="32"/>
  <c r="AH123" i="32"/>
  <c r="AS108" i="32"/>
  <c r="AJ108" i="32"/>
  <c r="AF108" i="32"/>
  <c r="AY108" i="32"/>
  <c r="AL123" i="32"/>
  <c r="AQ108" i="32"/>
  <c r="AP108" i="32"/>
  <c r="AU101" i="32"/>
  <c r="AV108" i="32"/>
  <c r="AF123" i="32"/>
  <c r="AH108" i="32"/>
  <c r="AC108" i="32"/>
  <c r="AU108" i="32"/>
  <c r="AA108" i="32"/>
  <c r="AI123" i="32"/>
  <c r="AT123" i="32"/>
  <c r="Y123" i="32"/>
  <c r="AQ101" i="32"/>
  <c r="AH101" i="32"/>
  <c r="AB114" i="32"/>
  <c r="AF122" i="32"/>
  <c r="AV122" i="32"/>
  <c r="AY122" i="32"/>
  <c r="AM123" i="32"/>
  <c r="AW123" i="32"/>
  <c r="AD123" i="32"/>
  <c r="AE101" i="32"/>
  <c r="AI101" i="32"/>
  <c r="AT122" i="32"/>
  <c r="AD122" i="32"/>
  <c r="AJ122" i="32"/>
  <c r="AI122" i="32"/>
  <c r="AJ123" i="32"/>
  <c r="AY123" i="32"/>
  <c r="Z123" i="32"/>
  <c r="AA101" i="32"/>
  <c r="AV101" i="32"/>
  <c r="AP122" i="32"/>
  <c r="AK122" i="32"/>
  <c r="AL122" i="32"/>
  <c r="AA122" i="32"/>
  <c r="AE123" i="32"/>
  <c r="AV123" i="32"/>
  <c r="AA123" i="32"/>
  <c r="Z101" i="32"/>
  <c r="AD101" i="32"/>
  <c r="AM122" i="32"/>
  <c r="Z122" i="32"/>
  <c r="AG122" i="32"/>
  <c r="AP123" i="32"/>
  <c r="AS123" i="32"/>
  <c r="AO123" i="32"/>
  <c r="AQ123" i="32"/>
  <c r="AT101" i="32"/>
  <c r="AK101" i="32"/>
  <c r="AL101" i="32"/>
  <c r="AX122" i="32"/>
  <c r="AR122" i="32"/>
  <c r="AU122" i="32"/>
  <c r="AG123" i="32"/>
  <c r="AC123" i="32"/>
  <c r="AR123" i="32"/>
  <c r="AG101" i="32"/>
  <c r="AB101" i="32"/>
  <c r="AX101" i="32"/>
  <c r="Y122" i="32"/>
  <c r="AW122" i="32"/>
  <c r="AN122" i="32"/>
  <c r="AX118" i="32"/>
  <c r="AL118" i="32"/>
  <c r="AS118" i="32"/>
  <c r="AD118" i="32"/>
  <c r="AQ118" i="32"/>
  <c r="AJ118" i="32"/>
  <c r="AI118" i="32"/>
  <c r="AW118" i="32"/>
  <c r="AR118" i="32"/>
  <c r="AC118" i="32"/>
  <c r="AN107" i="32"/>
  <c r="AY107" i="32"/>
  <c r="AX100" i="32"/>
  <c r="AO100" i="32"/>
  <c r="AQ105" i="32"/>
  <c r="AO107" i="32"/>
  <c r="AM107" i="32"/>
  <c r="AQ107" i="32"/>
  <c r="AS107" i="32"/>
  <c r="AO118" i="32"/>
  <c r="AT118" i="32"/>
  <c r="AP118" i="32"/>
  <c r="AE118" i="32"/>
  <c r="AP100" i="32"/>
  <c r="AR100" i="32"/>
  <c r="AH100" i="32"/>
  <c r="AV100" i="32"/>
  <c r="AH105" i="32"/>
  <c r="Z107" i="32"/>
  <c r="AW107" i="32"/>
  <c r="AX107" i="32"/>
  <c r="AV118" i="32"/>
  <c r="AN118" i="32"/>
  <c r="AB118" i="32"/>
  <c r="AA118" i="32"/>
  <c r="AD100" i="32"/>
  <c r="AN100" i="32"/>
  <c r="AW100" i="32"/>
  <c r="AQ100" i="32"/>
  <c r="AA100" i="32"/>
  <c r="AM100" i="32"/>
  <c r="AR107" i="32"/>
  <c r="Z118" i="32"/>
  <c r="AG118" i="32"/>
  <c r="AF118" i="32"/>
  <c r="AY100" i="32"/>
  <c r="AK100" i="32"/>
  <c r="AC100" i="32"/>
  <c r="AE100" i="32"/>
  <c r="AW105" i="32"/>
  <c r="AI107" i="32"/>
  <c r="Y107" i="32"/>
  <c r="AV107" i="32"/>
  <c r="AG107" i="32"/>
  <c r="AY118" i="32"/>
  <c r="Z100" i="32"/>
  <c r="AS100" i="32"/>
  <c r="AG100" i="32"/>
  <c r="AE107" i="32"/>
  <c r="AJ105" i="32"/>
  <c r="AU107" i="32"/>
  <c r="AP107" i="32"/>
  <c r="AT107" i="32"/>
  <c r="AK118" i="32"/>
  <c r="Y100" i="32"/>
  <c r="AU100" i="32"/>
  <c r="AA107" i="32"/>
  <c r="AJ107" i="32"/>
  <c r="AU105" i="32"/>
  <c r="AC107" i="32"/>
  <c r="AF107" i="32"/>
  <c r="AM118" i="32"/>
  <c r="AU118" i="32"/>
  <c r="AH118" i="32"/>
  <c r="AJ100" i="32"/>
  <c r="AB100" i="32"/>
  <c r="AL100" i="32"/>
  <c r="AV103" i="32"/>
  <c r="Y103" i="32"/>
  <c r="AL114" i="32"/>
  <c r="AU112" i="32"/>
  <c r="AL103" i="32"/>
  <c r="AN103" i="32"/>
  <c r="AK114" i="32"/>
  <c r="AT103" i="32"/>
  <c r="AS114" i="32"/>
  <c r="AQ103" i="32"/>
  <c r="AO103" i="32"/>
  <c r="AM103" i="32"/>
  <c r="AI112" i="32"/>
  <c r="AF103" i="32"/>
  <c r="AC103" i="32"/>
  <c r="AB103" i="32"/>
  <c r="AP103" i="32"/>
  <c r="AW103" i="32"/>
  <c r="Z103" i="32"/>
  <c r="AO112" i="32"/>
  <c r="AJ103" i="32"/>
  <c r="AG103" i="32"/>
  <c r="AA103" i="32"/>
  <c r="AX103" i="32"/>
  <c r="AU103" i="32"/>
  <c r="AH103" i="32"/>
  <c r="AD103" i="32"/>
  <c r="AI103" i="32"/>
  <c r="AS103" i="32"/>
  <c r="AR103" i="32"/>
  <c r="AY103" i="32"/>
  <c r="AC112" i="32"/>
  <c r="Y112" i="32"/>
  <c r="AD113" i="32"/>
  <c r="AQ117" i="32"/>
  <c r="AN117" i="32"/>
  <c r="AN106" i="32"/>
  <c r="AK106" i="32"/>
  <c r="AD121" i="32"/>
  <c r="AY117" i="32"/>
  <c r="AP117" i="32"/>
  <c r="AV117" i="32"/>
  <c r="AS117" i="32"/>
  <c r="AF117" i="32"/>
  <c r="AE113" i="32"/>
  <c r="AW117" i="32"/>
  <c r="AC117" i="32"/>
  <c r="AM117" i="32"/>
  <c r="AR117" i="32"/>
  <c r="AI117" i="32"/>
  <c r="AF113" i="32"/>
  <c r="AT117" i="32"/>
  <c r="Z117" i="32"/>
  <c r="AX117" i="32"/>
  <c r="AE117" i="32"/>
  <c r="AJ117" i="32"/>
  <c r="AH117" i="32"/>
  <c r="AG117" i="32"/>
  <c r="AK117" i="32"/>
  <c r="AL117" i="32"/>
  <c r="AB117" i="32"/>
  <c r="AA117" i="32"/>
  <c r="AD117" i="32"/>
  <c r="AU117" i="32"/>
  <c r="AO117" i="32"/>
  <c r="Z121" i="32"/>
  <c r="AL121" i="32"/>
  <c r="AY121" i="32"/>
  <c r="AI121" i="32"/>
  <c r="AG121" i="32"/>
  <c r="AH121" i="32"/>
  <c r="AO121" i="32"/>
  <c r="AJ121" i="32"/>
  <c r="AN121" i="32"/>
  <c r="AP121" i="32"/>
  <c r="AB121" i="32"/>
  <c r="AO114" i="32"/>
  <c r="AH114" i="32"/>
  <c r="AE114" i="32"/>
  <c r="AX114" i="32"/>
  <c r="AJ114" i="32"/>
  <c r="AR114" i="32"/>
  <c r="AT114" i="32"/>
  <c r="AF114" i="32"/>
  <c r="AC114" i="32"/>
  <c r="AV114" i="32"/>
  <c r="Y114" i="32"/>
  <c r="AQ114" i="32"/>
  <c r="AU114" i="32"/>
  <c r="AI114" i="32"/>
  <c r="AD114" i="32"/>
  <c r="AW114" i="32"/>
  <c r="Z114" i="32"/>
  <c r="AP114" i="32"/>
  <c r="AN114" i="32"/>
  <c r="AM114" i="32"/>
  <c r="AG114" i="32"/>
  <c r="AA114" i="32"/>
  <c r="AW106" i="32"/>
  <c r="AM106" i="32"/>
  <c r="AY106" i="32"/>
  <c r="Z106" i="32"/>
  <c r="AM101" i="32"/>
  <c r="AP101" i="32"/>
  <c r="AS101" i="32"/>
  <c r="AY101" i="32"/>
  <c r="Y121" i="32"/>
  <c r="AT121" i="32"/>
  <c r="AW121" i="32"/>
  <c r="AV110" i="32"/>
  <c r="AA106" i="32"/>
  <c r="AR101" i="32"/>
  <c r="AW101" i="32"/>
  <c r="Y101" i="32"/>
  <c r="AU121" i="32"/>
  <c r="AC121" i="32"/>
  <c r="AQ121" i="32"/>
  <c r="AE121" i="32"/>
  <c r="AH106" i="32"/>
  <c r="AK121" i="32"/>
  <c r="AA121" i="32"/>
  <c r="AR121" i="32"/>
  <c r="AM121" i="32"/>
  <c r="AG106" i="32"/>
  <c r="AD106" i="32"/>
  <c r="AT106" i="32"/>
  <c r="AX121" i="32"/>
  <c r="AF121" i="32"/>
  <c r="AV121" i="32"/>
  <c r="AN115" i="32"/>
  <c r="AM115" i="32"/>
  <c r="AF105" i="32"/>
  <c r="AL115" i="32"/>
  <c r="AT105" i="32"/>
  <c r="AX115" i="32"/>
  <c r="AS115" i="32"/>
  <c r="Y105" i="32"/>
  <c r="AP105" i="32"/>
  <c r="AE105" i="32"/>
  <c r="AI115" i="32"/>
  <c r="AH115" i="32"/>
  <c r="AF115" i="32"/>
  <c r="AU115" i="32"/>
  <c r="AJ115" i="32"/>
  <c r="AK115" i="32"/>
  <c r="AN105" i="32"/>
  <c r="AR115" i="32"/>
  <c r="AY115" i="32"/>
  <c r="AA115" i="32"/>
  <c r="AC115" i="32"/>
  <c r="AD115" i="32"/>
  <c r="AX105" i="32"/>
  <c r="AY105" i="32"/>
  <c r="AG115" i="32"/>
  <c r="AE115" i="32"/>
  <c r="AB105" i="32"/>
  <c r="Z105" i="32"/>
  <c r="AL105" i="32"/>
  <c r="Y115" i="32"/>
  <c r="AT115" i="32"/>
  <c r="Z115" i="32"/>
  <c r="AK105" i="32"/>
  <c r="AV105" i="32"/>
  <c r="AC105" i="32"/>
  <c r="AG105" i="32"/>
  <c r="AR105" i="32"/>
  <c r="AA105" i="32"/>
  <c r="AD105" i="32"/>
  <c r="AS105" i="32"/>
  <c r="AM105" i="32"/>
  <c r="AB115" i="32"/>
  <c r="AP115" i="32"/>
  <c r="AQ115" i="32"/>
  <c r="AO115" i="32"/>
  <c r="AV115" i="32"/>
  <c r="AS113" i="32"/>
  <c r="Y113" i="32"/>
  <c r="AY113" i="32"/>
  <c r="AJ113" i="32"/>
  <c r="AL113" i="32"/>
  <c r="AB113" i="32"/>
  <c r="AH110" i="32"/>
  <c r="AC113" i="32"/>
  <c r="AK113" i="32"/>
  <c r="AG113" i="32"/>
  <c r="AP113" i="32"/>
  <c r="AT113" i="32"/>
  <c r="AH113" i="32"/>
  <c r="AM113" i="32"/>
  <c r="AO113" i="32"/>
  <c r="AU113" i="32"/>
  <c r="AI113" i="32"/>
  <c r="AR113" i="32"/>
  <c r="Z113" i="32"/>
  <c r="AN113" i="32"/>
  <c r="AX113" i="32"/>
  <c r="AV113" i="32"/>
  <c r="AA113" i="32"/>
  <c r="AW113" i="32"/>
  <c r="AB102" i="32"/>
  <c r="AR102" i="32"/>
  <c r="AP102" i="32"/>
  <c r="I99" i="32"/>
  <c r="AW99" i="32" s="1"/>
  <c r="AV102" i="32"/>
  <c r="AH102" i="32"/>
  <c r="AQ102" i="32"/>
  <c r="AW111" i="32"/>
  <c r="AG102" i="32"/>
  <c r="AK102" i="32"/>
  <c r="AY102" i="32"/>
  <c r="AS102" i="32"/>
  <c r="AT102" i="32"/>
  <c r="AI102" i="32"/>
  <c r="AU102" i="32"/>
  <c r="AF102" i="32"/>
  <c r="Z102" i="32"/>
  <c r="AM102" i="32"/>
  <c r="AA102" i="32"/>
  <c r="AO102" i="32"/>
  <c r="AJ102" i="32"/>
  <c r="AD102" i="32"/>
  <c r="AN102" i="32"/>
  <c r="AE102" i="32"/>
  <c r="Y102" i="32"/>
  <c r="AW102" i="32"/>
  <c r="AP111" i="32"/>
  <c r="AT110" i="32"/>
  <c r="AL102" i="32"/>
  <c r="AX102" i="32"/>
  <c r="AL111" i="32"/>
  <c r="AT111" i="32"/>
  <c r="AA111" i="32"/>
  <c r="Z112" i="32"/>
  <c r="AD112" i="32"/>
  <c r="AQ112" i="32"/>
  <c r="AL112" i="32"/>
  <c r="AX112" i="32"/>
  <c r="AM112" i="32"/>
  <c r="AF111" i="32"/>
  <c r="AR111" i="32"/>
  <c r="AB112" i="32"/>
  <c r="AG112" i="32"/>
  <c r="AP112" i="32"/>
  <c r="AS111" i="32"/>
  <c r="AK111" i="32"/>
  <c r="AV112" i="32"/>
  <c r="AW112" i="32"/>
  <c r="AO111" i="32"/>
  <c r="AR112" i="32"/>
  <c r="AY112" i="32"/>
  <c r="AK112" i="32"/>
  <c r="Y111" i="32"/>
  <c r="AS112" i="32"/>
  <c r="AG111" i="32"/>
  <c r="AJ111" i="32"/>
  <c r="AH112" i="32"/>
  <c r="AN112" i="32"/>
  <c r="AE112" i="32"/>
  <c r="AA112" i="32"/>
  <c r="AF112" i="32"/>
  <c r="AT112" i="32"/>
  <c r="AX106" i="32"/>
  <c r="AL106" i="32"/>
  <c r="AC106" i="32"/>
  <c r="AI106" i="32"/>
  <c r="AC111" i="32"/>
  <c r="AH111" i="32"/>
  <c r="AI111" i="32"/>
  <c r="AN111" i="32"/>
  <c r="AV46" i="40" a="1"/>
  <c r="AV46" i="40" s="1"/>
  <c r="AR106" i="32"/>
  <c r="AS106" i="32"/>
  <c r="AF106" i="32"/>
  <c r="AM111" i="32"/>
  <c r="AU111" i="32"/>
  <c r="AY111" i="32"/>
  <c r="AE106" i="32"/>
  <c r="AJ106" i="32"/>
  <c r="AO106" i="32"/>
  <c r="AE111" i="32"/>
  <c r="AQ111" i="32"/>
  <c r="AV111" i="32"/>
  <c r="AB106" i="32"/>
  <c r="Z111" i="32"/>
  <c r="AF110" i="32"/>
  <c r="AQ106" i="32"/>
  <c r="AP106" i="32"/>
  <c r="Y106" i="32"/>
  <c r="AU106" i="32"/>
  <c r="AB111" i="32"/>
  <c r="AX111" i="32"/>
  <c r="AL110" i="32"/>
  <c r="AB110" i="32"/>
  <c r="AQ110" i="32"/>
  <c r="AP110" i="32"/>
  <c r="AG110" i="32"/>
  <c r="AE110" i="32"/>
  <c r="AU110" i="32"/>
  <c r="AM110" i="32"/>
  <c r="Z110" i="32"/>
  <c r="AX110" i="32"/>
  <c r="AW110" i="32"/>
  <c r="AR110" i="32"/>
  <c r="AA110" i="32"/>
  <c r="AK110" i="32"/>
  <c r="AI110" i="32"/>
  <c r="AY110" i="32"/>
  <c r="AO110" i="32"/>
  <c r="AJ110" i="32"/>
  <c r="Y110" i="32"/>
  <c r="AD110" i="32"/>
  <c r="AC110" i="32"/>
  <c r="AS110" i="32"/>
  <c r="AV65" i="40"/>
  <c r="AW66" i="9"/>
  <c r="AW71" i="9" s="1"/>
  <c r="AW72" i="9" s="1"/>
  <c r="AW98" i="9" s="1"/>
  <c r="AW54" i="9"/>
  <c r="AW55" i="9" s="1"/>
  <c r="AW97" i="9" s="1"/>
  <c r="AV13" i="11"/>
  <c r="AV35" i="11" s="1"/>
  <c r="AX59" i="9"/>
  <c r="AX53" i="9" s="1"/>
  <c r="AX76" i="9"/>
  <c r="AX70" i="9" s="1"/>
  <c r="AX99" i="32" l="1"/>
  <c r="AX132" i="32" s="1"/>
  <c r="AX8" i="8" s="1"/>
  <c r="AI99" i="32"/>
  <c r="AI132" i="32" s="1"/>
  <c r="AI43" i="40" s="1" a="1"/>
  <c r="AI43" i="40" s="1"/>
  <c r="AM99" i="32"/>
  <c r="AM132" i="32" s="1"/>
  <c r="AM62" i="40" s="1"/>
  <c r="I43" i="40" a="1"/>
  <c r="I43" i="40" s="1"/>
  <c r="AH99" i="32"/>
  <c r="AH132" i="32" s="1"/>
  <c r="AH62" i="40" s="1"/>
  <c r="AU99" i="32"/>
  <c r="AU132" i="32" s="1"/>
  <c r="AU62" i="40" s="1"/>
  <c r="AP99" i="32"/>
  <c r="AP132" i="32" s="1"/>
  <c r="AN99" i="32"/>
  <c r="AN132" i="32" s="1"/>
  <c r="AN43" i="40" s="1" a="1"/>
  <c r="AN43" i="40" s="1"/>
  <c r="AF99" i="32"/>
  <c r="AF132" i="32" s="1"/>
  <c r="AF62" i="40" s="1"/>
  <c r="AC99" i="32"/>
  <c r="AC132" i="32" s="1"/>
  <c r="AC62" i="40" s="1"/>
  <c r="AJ99" i="32"/>
  <c r="AJ132" i="32" s="1"/>
  <c r="AJ43" i="40" s="1" a="1"/>
  <c r="AJ43" i="40" s="1"/>
  <c r="AY99" i="32"/>
  <c r="AY132" i="32" s="1"/>
  <c r="AY62" i="40" s="1"/>
  <c r="Y99" i="32"/>
  <c r="Y132" i="32" s="1"/>
  <c r="Y43" i="40" s="1" a="1"/>
  <c r="Y43" i="40" s="1"/>
  <c r="AL99" i="32"/>
  <c r="AL132" i="32" s="1"/>
  <c r="AL43" i="40" s="1" a="1"/>
  <c r="AL43" i="40" s="1"/>
  <c r="AS99" i="32"/>
  <c r="AS132" i="32" s="1"/>
  <c r="AS62" i="40" s="1"/>
  <c r="AT99" i="32"/>
  <c r="AT132" i="32" s="1"/>
  <c r="AT62" i="40" s="1"/>
  <c r="I62" i="40"/>
  <c r="AB99" i="32"/>
  <c r="AB132" i="32" s="1"/>
  <c r="AB62" i="40" s="1"/>
  <c r="AE99" i="32"/>
  <c r="AE132" i="32" s="1"/>
  <c r="AE43" i="40" s="1" a="1"/>
  <c r="AE43" i="40" s="1"/>
  <c r="AD99" i="32"/>
  <c r="AD132" i="32" s="1"/>
  <c r="AD62" i="40" s="1"/>
  <c r="AK99" i="32"/>
  <c r="AK132" i="32" s="1"/>
  <c r="AK43" i="40" s="1" a="1"/>
  <c r="AK43" i="40" s="1"/>
  <c r="AA99" i="32"/>
  <c r="AA132" i="32" s="1"/>
  <c r="AA43" i="40" s="1" a="1"/>
  <c r="AA43" i="40" s="1"/>
  <c r="Z99" i="32"/>
  <c r="Z132" i="32" s="1"/>
  <c r="Z43" i="40" s="1" a="1"/>
  <c r="Z43" i="40" s="1"/>
  <c r="AV99" i="32"/>
  <c r="AV132" i="32" s="1"/>
  <c r="AV8" i="8" s="1"/>
  <c r="AR99" i="32"/>
  <c r="AR132" i="32" s="1"/>
  <c r="AR43" i="40" s="1" a="1"/>
  <c r="AR43" i="40" s="1"/>
  <c r="AQ99" i="32"/>
  <c r="AQ132" i="32" s="1"/>
  <c r="AQ62" i="40" s="1"/>
  <c r="AG99" i="32"/>
  <c r="AG132" i="32" s="1"/>
  <c r="AG43" i="40" s="1" a="1"/>
  <c r="AG43" i="40" s="1"/>
  <c r="AO99" i="32"/>
  <c r="AO132" i="32" s="1"/>
  <c r="AO62" i="40" s="1"/>
  <c r="AW132" i="32"/>
  <c r="AW62" i="40" s="1"/>
  <c r="AW101" i="9"/>
  <c r="AW73" i="9"/>
  <c r="AX78" i="9"/>
  <c r="AX79" i="9" s="1"/>
  <c r="AX80" i="9" s="1"/>
  <c r="AY75" i="9" s="1"/>
  <c r="AX61" i="9"/>
  <c r="AX62" i="9" s="1"/>
  <c r="AX63" i="9" s="1"/>
  <c r="AY58" i="9" s="1"/>
  <c r="AW56" i="9"/>
  <c r="AX49" i="9" s="1"/>
  <c r="AV43" i="40" l="1" a="1"/>
  <c r="AV43" i="40" s="1"/>
  <c r="AV62" i="40"/>
  <c r="AP43" i="40" a="1"/>
  <c r="AP43" i="40" s="1"/>
  <c r="AP62" i="40"/>
  <c r="AW8" i="8"/>
  <c r="AW20" i="8" s="1"/>
  <c r="AC43" i="40" a="1"/>
  <c r="AC43" i="40" s="1"/>
  <c r="AM43" i="40" a="1"/>
  <c r="AM43" i="40" s="1"/>
  <c r="AW46" i="40" a="1"/>
  <c r="AW46" i="40" s="1"/>
  <c r="AD43" i="40" a="1"/>
  <c r="AD43" i="40" s="1"/>
  <c r="AN62" i="40"/>
  <c r="AB43" i="40" a="1"/>
  <c r="AB43" i="40" s="1"/>
  <c r="AA62" i="40"/>
  <c r="AW43" i="40" a="1"/>
  <c r="AW43" i="40" s="1"/>
  <c r="AR62" i="40"/>
  <c r="AY43" i="40" a="1"/>
  <c r="AY43" i="40" s="1"/>
  <c r="AX62" i="40"/>
  <c r="AS43" i="40" a="1"/>
  <c r="AS43" i="40" s="1"/>
  <c r="AX43" i="40" a="1"/>
  <c r="AX43" i="40" s="1"/>
  <c r="AI62" i="40"/>
  <c r="AU43" i="40" a="1"/>
  <c r="AU43" i="40" s="1"/>
  <c r="Z62" i="40"/>
  <c r="AL62" i="40"/>
  <c r="AO43" i="40" a="1"/>
  <c r="AO43" i="40" s="1"/>
  <c r="AT43" i="40" a="1"/>
  <c r="AT43" i="40" s="1"/>
  <c r="Y62" i="40"/>
  <c r="AK62" i="40"/>
  <c r="AJ62" i="40"/>
  <c r="AG62" i="40"/>
  <c r="AF43" i="40" a="1"/>
  <c r="AF43" i="40" s="1"/>
  <c r="AE62" i="40"/>
  <c r="AH43" i="40" a="1"/>
  <c r="AH43" i="40" s="1"/>
  <c r="AQ43" i="40" a="1"/>
  <c r="AQ43" i="40" s="1"/>
  <c r="AU8" i="8"/>
  <c r="AU20" i="8" s="1"/>
  <c r="AU21" i="8" s="1"/>
  <c r="AU37" i="8" s="1"/>
  <c r="AW65" i="40"/>
  <c r="AV20" i="8"/>
  <c r="AV29" i="8" s="1"/>
  <c r="AX20" i="8"/>
  <c r="AX66" i="9"/>
  <c r="AX71" i="9" s="1"/>
  <c r="AX72" i="9" s="1"/>
  <c r="AX98" i="9" s="1"/>
  <c r="AY8" i="8"/>
  <c r="AX54" i="9"/>
  <c r="AX55" i="9" s="1"/>
  <c r="AX97" i="9" s="1"/>
  <c r="AW13" i="11"/>
  <c r="AW35" i="11" s="1"/>
  <c r="AY76" i="9"/>
  <c r="AY70" i="9" s="1"/>
  <c r="AY59" i="9"/>
  <c r="AY53" i="9" s="1"/>
  <c r="D8" i="8" a="1"/>
  <c r="D8" i="8" l="1"/>
  <c r="AU29" i="8"/>
  <c r="AV21" i="8"/>
  <c r="AV37" i="8" s="1"/>
  <c r="AW29" i="8"/>
  <c r="AX29" i="8"/>
  <c r="AW21" i="8"/>
  <c r="AW37" i="8" s="1"/>
  <c r="AX21" i="8"/>
  <c r="AX37" i="8" s="1"/>
  <c r="AY20" i="8"/>
  <c r="AU8" i="12"/>
  <c r="AY61" i="9"/>
  <c r="AY62" i="9" s="1"/>
  <c r="AY63" i="9" s="1"/>
  <c r="AX101" i="9"/>
  <c r="AY78" i="9"/>
  <c r="AY79" i="9" s="1"/>
  <c r="AY80" i="9" s="1"/>
  <c r="AX56" i="9"/>
  <c r="AY49" i="9" s="1"/>
  <c r="AX73" i="9"/>
  <c r="AW8" i="12" l="1"/>
  <c r="AX8" i="12"/>
  <c r="AV8" i="12"/>
  <c r="AX46" i="40" a="1"/>
  <c r="AX46" i="40" s="1"/>
  <c r="AY29" i="8"/>
  <c r="AX65" i="40"/>
  <c r="AY21" i="8"/>
  <c r="AY37" i="8" s="1"/>
  <c r="AX13" i="11"/>
  <c r="AX35" i="11" s="1"/>
  <c r="AY66" i="9"/>
  <c r="AY71" i="9" s="1"/>
  <c r="AY72" i="9" s="1"/>
  <c r="AY98" i="9" s="1"/>
  <c r="AY54" i="9"/>
  <c r="AY55" i="9" s="1"/>
  <c r="AY97" i="9" s="1"/>
  <c r="AY8" i="12" l="1"/>
  <c r="AY56" i="9"/>
  <c r="AY101" i="9"/>
  <c r="AY73" i="9"/>
  <c r="AY46" i="40" l="1" a="1"/>
  <c r="AY46" i="40" s="1"/>
  <c r="AY65" i="40"/>
  <c r="AY13" i="11"/>
  <c r="AY35" i="11" s="1"/>
  <c r="AU26" i="8"/>
  <c r="AU34" i="8" l="1"/>
  <c r="AU27" i="8"/>
  <c r="AU35" i="8" l="1"/>
  <c r="AU30" i="8"/>
  <c r="D22" i="13" a="1"/>
  <c r="AV25" i="8" l="1"/>
  <c r="AU38" i="8"/>
  <c r="D22" i="13"/>
  <c r="AU25" i="13"/>
  <c r="AU81" i="13" s="1"/>
  <c r="AU47" i="8"/>
  <c r="AU49" i="8" s="1"/>
  <c r="AU50" i="8" s="1"/>
  <c r="AU8" i="38" s="1"/>
  <c r="AU23" i="38" s="1"/>
  <c r="D25" i="13" a="1"/>
  <c r="AU24" i="38" l="1"/>
  <c r="AU52" i="8"/>
  <c r="AU53" i="8" s="1"/>
  <c r="AU41" i="8"/>
  <c r="AV33" i="8"/>
  <c r="AU17" i="11"/>
  <c r="D25" i="13"/>
  <c r="AU86" i="13"/>
  <c r="AU102" i="13"/>
  <c r="AU55" i="13" s="1"/>
  <c r="AU71" i="13"/>
  <c r="D17" i="11" a="1"/>
  <c r="D8" i="38" a="1"/>
  <c r="AU45" i="40" l="1" a="1"/>
  <c r="AU45" i="40" s="1"/>
  <c r="AU64" i="40"/>
  <c r="AU9" i="12"/>
  <c r="D8" i="38"/>
  <c r="AV26" i="8"/>
  <c r="AV22" i="13"/>
  <c r="AV70" i="13" s="1"/>
  <c r="AV44" i="13" s="1"/>
  <c r="D17" i="11"/>
  <c r="AU50" i="11"/>
  <c r="AU51" i="11" s="1"/>
  <c r="AU52" i="11" s="1"/>
  <c r="AU76" i="13"/>
  <c r="AU77" i="13" s="1"/>
  <c r="AU11" i="12" l="1"/>
  <c r="AU9" i="33" s="1"/>
  <c r="AU34" i="33" s="1"/>
  <c r="AV34" i="8"/>
  <c r="AV35" i="8" s="1"/>
  <c r="AV38" i="8" s="1"/>
  <c r="AV17" i="11" s="1"/>
  <c r="AV50" i="11" s="1"/>
  <c r="AV51" i="11" s="1"/>
  <c r="AV52" i="11" s="1"/>
  <c r="AV27" i="8"/>
  <c r="AV30" i="8" s="1"/>
  <c r="AW25" i="8" s="1"/>
  <c r="AU45" i="13"/>
  <c r="AU121" i="13" s="1"/>
  <c r="D9" i="33" a="1"/>
  <c r="AU30" i="13" l="1"/>
  <c r="AW33" i="8"/>
  <c r="AV41" i="8"/>
  <c r="AW26" i="8"/>
  <c r="AW22" i="13"/>
  <c r="AW70" i="13" s="1"/>
  <c r="AW44" i="13" s="1"/>
  <c r="AV25" i="13"/>
  <c r="AV102" i="13" s="1"/>
  <c r="AV55" i="13" s="1"/>
  <c r="AV47" i="8"/>
  <c r="AV49" i="8" s="1"/>
  <c r="AV50" i="8" s="1"/>
  <c r="AV8" i="38" s="1"/>
  <c r="AV23" i="38" s="1"/>
  <c r="D9" i="33"/>
  <c r="D30" i="13" a="1"/>
  <c r="AV24" i="38" l="1"/>
  <c r="D30" i="13"/>
  <c r="AW34" i="8"/>
  <c r="AW35" i="8" s="1"/>
  <c r="AW38" i="8" s="1"/>
  <c r="AW41" i="8" s="1"/>
  <c r="AV52" i="8"/>
  <c r="AV53" i="8" s="1"/>
  <c r="AW27" i="8"/>
  <c r="AV81" i="13"/>
  <c r="AV86" i="13" s="1"/>
  <c r="AU37" i="33"/>
  <c r="AW17" i="11" l="1"/>
  <c r="AW50" i="11" s="1"/>
  <c r="AW51" i="11" s="1"/>
  <c r="AW52" i="11" s="1"/>
  <c r="AX33" i="8"/>
  <c r="AW30" i="8"/>
  <c r="AX25" i="8" s="1"/>
  <c r="AV45" i="40" a="1"/>
  <c r="AV45" i="40" s="1"/>
  <c r="AV64" i="40"/>
  <c r="AV9" i="12"/>
  <c r="AU38" i="33"/>
  <c r="AU41" i="33" s="1"/>
  <c r="AU42" i="33" s="1"/>
  <c r="AV11" i="12" l="1"/>
  <c r="AV30" i="13" s="1"/>
  <c r="AW25" i="13"/>
  <c r="AW81" i="13" s="1"/>
  <c r="AW86" i="13" s="1"/>
  <c r="AW47" i="8"/>
  <c r="AW49" i="8" s="1"/>
  <c r="AW50" i="8" s="1"/>
  <c r="AW8" i="38" s="1"/>
  <c r="AW23" i="38" s="1"/>
  <c r="AX26" i="8"/>
  <c r="AX34" i="8" s="1"/>
  <c r="AX35" i="8" s="1"/>
  <c r="AX38" i="8" s="1"/>
  <c r="AX22" i="13"/>
  <c r="AX70" i="13" s="1"/>
  <c r="AX44" i="13" s="1"/>
  <c r="AU39" i="33"/>
  <c r="AW24" i="38" l="1"/>
  <c r="AW102" i="13"/>
  <c r="AW55" i="13" s="1"/>
  <c r="AW52" i="8"/>
  <c r="AW53" i="8" s="1"/>
  <c r="AW9" i="12" s="1"/>
  <c r="AV9" i="33"/>
  <c r="AX27" i="8"/>
  <c r="AX30" i="8" s="1"/>
  <c r="AY33" i="8"/>
  <c r="AX41" i="8"/>
  <c r="AX17" i="11"/>
  <c r="AU85" i="13"/>
  <c r="AV34" i="33" l="1"/>
  <c r="AV37" i="33" s="1"/>
  <c r="AV38" i="33" s="1"/>
  <c r="AW64" i="40"/>
  <c r="AW45" i="40" a="1"/>
  <c r="AW45" i="40" s="1"/>
  <c r="AW11" i="12"/>
  <c r="AX47" i="8"/>
  <c r="AX49" i="8" s="1"/>
  <c r="AX50" i="8" s="1"/>
  <c r="AX8" i="38" s="1"/>
  <c r="AX23" i="38" s="1"/>
  <c r="AY25" i="8"/>
  <c r="AX25" i="13"/>
  <c r="AX102" i="13" s="1"/>
  <c r="AX55" i="13" s="1"/>
  <c r="AX50" i="11"/>
  <c r="AX51" i="11" s="1"/>
  <c r="AX52" i="11" s="1"/>
  <c r="AU87" i="13"/>
  <c r="AU90" i="13" s="1"/>
  <c r="AU91" i="13" s="1"/>
  <c r="AX24" i="38" l="1"/>
  <c r="AV39" i="33"/>
  <c r="AV41" i="33"/>
  <c r="AV42" i="33" s="1"/>
  <c r="AW30" i="13"/>
  <c r="AW9" i="33"/>
  <c r="AY22" i="13"/>
  <c r="AY70" i="13" s="1"/>
  <c r="AY44" i="13" s="1"/>
  <c r="AX52" i="8"/>
  <c r="AX53" i="8" s="1"/>
  <c r="AX81" i="13"/>
  <c r="AX86" i="13" s="1"/>
  <c r="AY26" i="8"/>
  <c r="AY27" i="8" s="1"/>
  <c r="AW43" i="33" l="1"/>
  <c r="AW34" i="33"/>
  <c r="AW37" i="33" s="1"/>
  <c r="AW38" i="33" s="1"/>
  <c r="AX45" i="40" a="1"/>
  <c r="AX45" i="40" s="1"/>
  <c r="AX64" i="40"/>
  <c r="AX9" i="12"/>
  <c r="AY34" i="8"/>
  <c r="AY35" i="8" s="1"/>
  <c r="AY38" i="8" s="1"/>
  <c r="AY30" i="8"/>
  <c r="AW41" i="33" l="1"/>
  <c r="AW42" i="33" s="1"/>
  <c r="AW39" i="33"/>
  <c r="AX11" i="12"/>
  <c r="AX30" i="13" s="1"/>
  <c r="AY41" i="8"/>
  <c r="AY17" i="11"/>
  <c r="AY50" i="11" s="1"/>
  <c r="AY51" i="11" s="1"/>
  <c r="AY52" i="11" s="1"/>
  <c r="AY47" i="8"/>
  <c r="AY25" i="13"/>
  <c r="AX43" i="33" l="1"/>
  <c r="AX9" i="33"/>
  <c r="AY49" i="8"/>
  <c r="AY50" i="8" s="1"/>
  <c r="AY8" i="38" s="1"/>
  <c r="AY23" i="38" s="1"/>
  <c r="AY81" i="13"/>
  <c r="AY86" i="13" s="1"/>
  <c r="AY102" i="13"/>
  <c r="AY55" i="13" s="1"/>
  <c r="AY24" i="38" l="1"/>
  <c r="AX34" i="33"/>
  <c r="AX37" i="33" s="1"/>
  <c r="AX38" i="33" s="1"/>
  <c r="AY52" i="8"/>
  <c r="AY53" i="8" s="1"/>
  <c r="AX41" i="33" l="1"/>
  <c r="AX42" i="33" s="1"/>
  <c r="AX39" i="33"/>
  <c r="AY45" i="40" a="1"/>
  <c r="AY45" i="40" s="1"/>
  <c r="AY64" i="40"/>
  <c r="AY9" i="12"/>
  <c r="AY43" i="33" l="1"/>
  <c r="I34" i="38"/>
  <c r="I25" i="38"/>
  <c r="AY11" i="12"/>
  <c r="I66" i="38" l="1"/>
  <c r="AU56" i="38"/>
  <c r="AV56" i="38"/>
  <c r="AW56" i="38"/>
  <c r="AX56" i="38"/>
  <c r="AY56" i="38"/>
  <c r="I38" i="38"/>
  <c r="I46" i="38"/>
  <c r="AY9" i="33"/>
  <c r="AY34" i="33" s="1"/>
  <c r="AY30" i="13"/>
  <c r="I49" i="38" l="1"/>
  <c r="I48" i="38"/>
  <c r="I40" i="38"/>
  <c r="I41" i="38"/>
  <c r="AY37" i="33"/>
  <c r="AY38" i="33" s="1"/>
  <c r="AY41" i="33" s="1"/>
  <c r="AY42" i="33" s="1"/>
  <c r="I51" i="38" l="1"/>
  <c r="I43" i="38"/>
  <c r="AY39" i="33"/>
  <c r="I54" i="38" l="1"/>
  <c r="AY58" i="38" s="1"/>
  <c r="AY63" i="38" l="1"/>
  <c r="AY64" i="38" s="1"/>
  <c r="AU58" i="38"/>
  <c r="AX58" i="38"/>
  <c r="AV58" i="38"/>
  <c r="AW58" i="38"/>
  <c r="AY69" i="40" l="1"/>
  <c r="AY50" i="40" a="1"/>
  <c r="AY50" i="40" s="1"/>
  <c r="AW63" i="38"/>
  <c r="AW64" i="38" s="1"/>
  <c r="AX63" i="38"/>
  <c r="AX64" i="38" s="1"/>
  <c r="AU63" i="38"/>
  <c r="AU64" i="38" s="1"/>
  <c r="AV63" i="38"/>
  <c r="AV64" i="38" s="1"/>
  <c r="AX50" i="40" l="1" a="1"/>
  <c r="AX50" i="40" s="1"/>
  <c r="AX69" i="40"/>
  <c r="AU50" i="40" a="1"/>
  <c r="AU50" i="40" s="1"/>
  <c r="AU69" i="40"/>
  <c r="I67" i="38"/>
  <c r="I68" i="38" s="1"/>
  <c r="AW50" i="40" a="1"/>
  <c r="AW50" i="40" s="1"/>
  <c r="AW69" i="40"/>
  <c r="AV69" i="40"/>
  <c r="AV50" i="40" a="1"/>
  <c r="AV50" i="40" s="1"/>
  <c r="I50" i="40" l="1" a="1"/>
  <c r="I50" i="40" s="1"/>
  <c r="I69" i="40"/>
  <c r="I39" i="40" a="1"/>
  <c r="I39" i="40" s="1"/>
  <c r="AX280" i="15"/>
  <c r="AX281" i="15" s="1"/>
  <c r="AY280" i="15"/>
  <c r="AY281" i="15" s="1"/>
  <c r="AU280" i="15" l="1"/>
  <c r="AU281" i="15" s="1"/>
  <c r="AW280" i="15"/>
  <c r="AW281" i="15" s="1"/>
  <c r="AV280" i="15"/>
  <c r="AV281" i="15" s="1"/>
  <c r="AU284" i="15"/>
  <c r="AW284" i="15"/>
  <c r="AW285" i="15" s="1"/>
  <c r="AV284" i="15"/>
  <c r="AV285" i="15" s="1"/>
  <c r="AX284" i="15"/>
  <c r="AX285" i="15" s="1"/>
  <c r="AX287" i="15" s="1"/>
  <c r="AY284" i="15"/>
  <c r="AW287" i="15" l="1"/>
  <c r="AY285" i="15"/>
  <c r="AY287" i="15" s="1"/>
  <c r="AY20" i="33" s="1"/>
  <c r="AY59" i="33" s="1"/>
  <c r="AU285" i="15"/>
  <c r="AV287" i="15"/>
  <c r="AU287" i="15"/>
  <c r="AU20" i="33" s="1"/>
  <c r="AU58" i="40"/>
  <c r="AU39" i="40" a="1"/>
  <c r="AU39" i="40" s="1"/>
  <c r="AX20" i="33"/>
  <c r="AX39" i="40" a="1"/>
  <c r="AX39" i="40" s="1"/>
  <c r="AX58" i="40"/>
  <c r="D20" i="33" a="1"/>
  <c r="AY39" i="40" l="1" a="1"/>
  <c r="AY39" i="40" s="1"/>
  <c r="AY58" i="40"/>
  <c r="D20" i="33"/>
  <c r="AU59" i="33"/>
  <c r="AV20" i="33"/>
  <c r="AV59" i="33" s="1"/>
  <c r="AV58" i="40"/>
  <c r="AV39" i="40" a="1"/>
  <c r="AV39" i="40" s="1"/>
  <c r="AX59" i="33"/>
  <c r="AW20" i="33"/>
  <c r="AW39" i="40" a="1"/>
  <c r="AW39" i="40" s="1"/>
  <c r="AW58" i="40"/>
  <c r="AW59" i="33" l="1"/>
  <c r="AU59" i="25" l="1"/>
  <c r="AU64" i="25"/>
  <c r="AU135" i="27" s="1"/>
  <c r="D135" i="27" a="1"/>
  <c r="D135" i="27" l="1"/>
  <c r="AU16" i="13"/>
  <c r="AU62" i="25"/>
  <c r="AU12" i="29" s="1"/>
  <c r="AU163" i="27"/>
  <c r="AU172" i="27" s="1"/>
  <c r="AU238" i="27" s="1"/>
  <c r="AU260" i="27" s="1"/>
  <c r="D16" i="13" a="1"/>
  <c r="AU59" i="40" l="1"/>
  <c r="D16" i="13"/>
  <c r="AU13" i="29"/>
  <c r="AU54" i="13"/>
  <c r="AU40" i="40" a="1"/>
  <c r="AU40" i="40" s="1"/>
  <c r="AU235" i="27" l="1"/>
  <c r="AU9" i="13"/>
  <c r="D235" i="27" a="1"/>
  <c r="D9" i="13" a="1"/>
  <c r="D9" i="13" l="1"/>
  <c r="D235" i="27"/>
  <c r="AU47" i="13"/>
  <c r="AU83" i="13"/>
  <c r="AU89" i="13" s="1"/>
  <c r="AU92" i="13" s="1"/>
  <c r="AU256" i="27"/>
  <c r="AU93" i="13" l="1"/>
  <c r="AU104" i="13" l="1"/>
  <c r="AU105" i="13" s="1"/>
  <c r="AU56" i="13" s="1"/>
  <c r="AU95" i="13"/>
  <c r="AU96" i="13" s="1"/>
  <c r="AU57" i="13" l="1"/>
  <c r="AU99" i="13"/>
  <c r="AU13" i="12" l="1"/>
  <c r="AU58" i="13"/>
  <c r="AU18" i="12" l="1"/>
  <c r="AU8" i="11" l="1"/>
  <c r="AU8" i="13"/>
  <c r="D8" i="13" a="1"/>
  <c r="D8" i="11" a="1"/>
  <c r="D8" i="11" l="1"/>
  <c r="D8" i="13"/>
  <c r="AU30" i="11"/>
  <c r="AU46" i="13"/>
  <c r="AU59" i="13" s="1"/>
  <c r="AU108" i="13" l="1"/>
  <c r="AU110" i="13" l="1"/>
  <c r="AU111" i="13" s="1"/>
  <c r="AU112" i="13"/>
  <c r="AU113" i="13" l="1"/>
  <c r="AU116" i="13" s="1"/>
  <c r="AU114" i="13"/>
  <c r="AU118" i="13" s="1"/>
  <c r="AU117" i="13" l="1"/>
  <c r="AU60" i="13" s="1"/>
  <c r="AU123" i="13"/>
  <c r="AU237" i="27" s="1"/>
  <c r="AU61" i="13"/>
  <c r="D237" i="27" a="1"/>
  <c r="AU122" i="13" l="1"/>
  <c r="AU236" i="27" s="1"/>
  <c r="AU258" i="27" s="1"/>
  <c r="AU126" i="13"/>
  <c r="AU11" i="11" s="1"/>
  <c r="AU33" i="11" s="1"/>
  <c r="D237" i="27"/>
  <c r="AU259" i="27"/>
  <c r="D236" i="27" a="1"/>
  <c r="D11" i="11" a="1"/>
  <c r="AU280" i="27" l="1"/>
  <c r="AU282" i="27" s="1"/>
  <c r="AU283" i="27" s="1"/>
  <c r="AU287" i="27" s="1"/>
  <c r="D236" i="27"/>
  <c r="AU125" i="13"/>
  <c r="AU10" i="11" s="1"/>
  <c r="AU54" i="11" s="1"/>
  <c r="AU56" i="11" s="1"/>
  <c r="AU57" i="11" s="1"/>
  <c r="AU61" i="11" s="1"/>
  <c r="D11" i="11"/>
  <c r="AU262" i="27"/>
  <c r="AU273" i="27" s="1"/>
  <c r="D10" i="11" a="1"/>
  <c r="D10" i="11" l="1"/>
  <c r="AU32" i="11"/>
  <c r="AU36" i="11" s="1"/>
  <c r="AU46" i="11" s="1"/>
  <c r="AU272" i="27"/>
  <c r="AU288" i="27" s="1"/>
  <c r="AU47" i="11" l="1"/>
  <c r="AU301" i="27"/>
  <c r="AU295" i="27"/>
  <c r="AU296" i="27" s="1"/>
  <c r="AU75" i="11"/>
  <c r="AU62" i="11"/>
  <c r="AU63" i="11" s="1"/>
  <c r="AV60" i="11" s="1"/>
  <c r="AU69" i="11"/>
  <c r="AU289" i="27"/>
  <c r="AU291" i="27"/>
  <c r="AU297" i="27" l="1"/>
  <c r="AU302" i="27" s="1"/>
  <c r="AU303" i="27" s="1"/>
  <c r="AV300" i="27" s="1"/>
  <c r="AV286" i="27"/>
  <c r="AU71" i="11"/>
  <c r="AU70" i="11"/>
  <c r="AU65" i="11"/>
  <c r="AU76" i="11" l="1"/>
  <c r="AU77" i="11" s="1"/>
  <c r="AV74" i="11" s="1"/>
  <c r="AU306" i="27"/>
  <c r="AU307" i="27" s="1"/>
  <c r="AU308" i="27" s="1"/>
  <c r="AU80" i="11" l="1"/>
  <c r="AU81" i="11" s="1"/>
  <c r="AU82" i="11" s="1"/>
  <c r="AU19" i="12" s="1"/>
  <c r="AU14" i="29"/>
  <c r="AU311" i="27"/>
  <c r="AU85" i="11" l="1"/>
  <c r="AU89" i="11" s="1"/>
  <c r="AU22" i="12"/>
  <c r="AU18" i="13"/>
  <c r="AU315" i="27"/>
  <c r="AU16" i="29"/>
  <c r="D18" i="13" a="1"/>
  <c r="AU17" i="13" l="1"/>
  <c r="AU62" i="13" s="1"/>
  <c r="D18" i="13"/>
  <c r="AU19" i="34"/>
  <c r="AU52" i="40" a="1"/>
  <c r="AU52" i="40" s="1"/>
  <c r="AU325" i="27"/>
  <c r="AU316" i="27"/>
  <c r="AU319" i="27"/>
  <c r="AU99" i="11"/>
  <c r="AU90" i="11"/>
  <c r="AU93" i="11"/>
  <c r="AU71" i="40"/>
  <c r="AU63" i="13"/>
  <c r="AU19" i="33"/>
  <c r="AU24" i="12"/>
  <c r="AU70" i="40" s="1"/>
  <c r="D17" i="13" a="1"/>
  <c r="D19" i="34" a="1"/>
  <c r="D19" i="33" a="1"/>
  <c r="D17" i="13" l="1"/>
  <c r="D19" i="34"/>
  <c r="D19" i="33"/>
  <c r="AU94" i="11"/>
  <c r="AU95" i="11"/>
  <c r="AU320" i="27"/>
  <c r="AU321" i="27"/>
  <c r="AU51" i="40" a="1"/>
  <c r="AU51" i="40" s="1"/>
  <c r="AU58" i="34"/>
  <c r="AU62" i="34" s="1"/>
  <c r="AU23" i="34" s="1"/>
  <c r="AU58" i="33"/>
  <c r="AU62" i="33" s="1"/>
  <c r="AU23" i="33" s="1"/>
  <c r="AU326" i="27" l="1"/>
  <c r="AU330" i="27" s="1"/>
  <c r="AU331" i="27" s="1"/>
  <c r="AU20" i="13" s="1"/>
  <c r="AU26" i="34"/>
  <c r="AU27" i="34" s="1"/>
  <c r="AU47" i="34"/>
  <c r="AU48" i="34" s="1"/>
  <c r="AU100" i="11"/>
  <c r="AU26" i="33"/>
  <c r="AU27" i="33" s="1"/>
  <c r="AU28" i="33" s="1"/>
  <c r="AV30" i="33" s="1"/>
  <c r="AV60" i="33" s="1"/>
  <c r="AU47" i="33"/>
  <c r="AU48" i="33" s="1"/>
  <c r="D20" i="13" a="1"/>
  <c r="AU51" i="34" l="1"/>
  <c r="AU52" i="34" s="1"/>
  <c r="AU327" i="27"/>
  <c r="AV324" i="27" s="1"/>
  <c r="AU51" i="33"/>
  <c r="AU52" i="33" s="1"/>
  <c r="D20" i="13"/>
  <c r="AU104" i="11"/>
  <c r="AU105" i="11" s="1"/>
  <c r="AU101" i="11"/>
  <c r="AV98" i="11" s="1"/>
  <c r="AU49" i="34"/>
  <c r="AU28" i="34"/>
  <c r="AU65" i="13"/>
  <c r="AU49" i="33"/>
  <c r="AU68" i="40" l="1"/>
  <c r="AU49" i="40" a="1"/>
  <c r="AU49" i="40" s="1"/>
  <c r="AU72" i="40"/>
  <c r="AU53" i="40" a="1"/>
  <c r="AU53" i="40" s="1"/>
  <c r="AV30" i="34"/>
  <c r="AV60" i="34" s="1"/>
  <c r="AU73" i="40"/>
  <c r="AU54" i="40" a="1"/>
  <c r="AU54" i="40" s="1"/>
  <c r="AU19" i="13"/>
  <c r="AU67" i="40"/>
  <c r="AU48" i="40" a="1"/>
  <c r="AU48" i="40" s="1"/>
  <c r="D19" i="13" a="1"/>
  <c r="D19" i="13" l="1"/>
  <c r="AU64" i="13"/>
  <c r="AU66" i="13" s="1"/>
  <c r="AU97" i="13" l="1"/>
  <c r="AV43" i="13"/>
  <c r="AV71" i="13" l="1"/>
  <c r="AV45" i="13"/>
  <c r="AU47" i="40" a="1"/>
  <c r="AU47" i="40" s="1"/>
  <c r="AU66" i="40"/>
  <c r="AV121" i="13" l="1"/>
  <c r="AV85" i="13"/>
  <c r="AV87" i="13" l="1"/>
  <c r="AV90" i="13" s="1"/>
  <c r="AV91" i="13" s="1"/>
  <c r="AX59" i="25"/>
  <c r="AX64" i="25" s="1"/>
  <c r="AW59" i="25"/>
  <c r="AW64" i="25" s="1"/>
  <c r="AY59" i="25"/>
  <c r="AY62" i="25" s="1"/>
  <c r="AY12" i="29" s="1"/>
  <c r="AV59" i="25"/>
  <c r="AV62" i="25" s="1"/>
  <c r="AV12" i="29" s="1"/>
  <c r="AV13" i="29" s="1"/>
  <c r="AX62" i="25" l="1"/>
  <c r="AX12" i="29" s="1"/>
  <c r="AX13" i="29" s="1"/>
  <c r="AW62" i="25"/>
  <c r="AW12" i="29" s="1"/>
  <c r="AW13" i="29" s="1"/>
  <c r="AW235" i="27" s="1"/>
  <c r="AW256" i="27" s="1"/>
  <c r="AV9" i="13"/>
  <c r="AV235" i="27"/>
  <c r="AV256" i="27" s="1"/>
  <c r="AW59" i="40"/>
  <c r="AW9" i="13"/>
  <c r="AW135" i="27"/>
  <c r="AW16" i="13"/>
  <c r="AW54" i="13" s="1"/>
  <c r="AX16" i="13"/>
  <c r="AX54" i="13" s="1"/>
  <c r="AX135" i="27"/>
  <c r="AY13" i="29"/>
  <c r="AY64" i="25"/>
  <c r="AY40" i="40" s="1" a="1"/>
  <c r="AY40" i="40" s="1"/>
  <c r="AV64" i="25"/>
  <c r="AV59" i="40" s="1"/>
  <c r="AW40" i="40" l="1" a="1"/>
  <c r="AW40" i="40" s="1"/>
  <c r="AX40" i="40" a="1"/>
  <c r="AX40" i="40" s="1"/>
  <c r="AX59" i="40"/>
  <c r="AY59" i="40"/>
  <c r="AV47" i="13"/>
  <c r="AV83" i="13"/>
  <c r="AY9" i="13"/>
  <c r="AY235" i="27"/>
  <c r="AY256" i="27" s="1"/>
  <c r="AW163" i="27"/>
  <c r="AW172" i="27" s="1"/>
  <c r="AW238" i="27" s="1"/>
  <c r="AW260" i="27" s="1"/>
  <c r="AX9" i="13"/>
  <c r="AX235" i="27"/>
  <c r="AX256" i="27" s="1"/>
  <c r="AV135" i="27"/>
  <c r="AV40" i="40" a="1"/>
  <c r="AV40" i="40" s="1"/>
  <c r="AV16" i="13"/>
  <c r="AV54" i="13" s="1"/>
  <c r="AW83" i="13"/>
  <c r="AW47" i="13"/>
  <c r="AX163" i="27"/>
  <c r="AX172" i="27" s="1"/>
  <c r="AX238" i="27" s="1"/>
  <c r="AX260" i="27" s="1"/>
  <c r="AY135" i="27"/>
  <c r="AY16" i="13"/>
  <c r="AY54" i="13" s="1"/>
  <c r="AV89" i="13" l="1"/>
  <c r="AV92" i="13" s="1"/>
  <c r="AV93" i="13" s="1"/>
  <c r="AX47" i="13"/>
  <c r="AX83" i="13"/>
  <c r="AV163" i="27"/>
  <c r="AV172" i="27" s="1"/>
  <c r="AV238" i="27" s="1"/>
  <c r="AV260" i="27" s="1"/>
  <c r="AY163" i="27"/>
  <c r="AY172" i="27" s="1"/>
  <c r="AY238" i="27" s="1"/>
  <c r="AY260" i="27" s="1"/>
  <c r="AY47" i="13"/>
  <c r="AY83" i="13"/>
  <c r="AV104" i="13" l="1"/>
  <c r="AV105" i="13" s="1"/>
  <c r="AV56" i="13" s="1"/>
  <c r="AV95" i="13"/>
  <c r="AV96" i="13" s="1"/>
  <c r="AV57" i="13" l="1"/>
  <c r="AV99" i="13"/>
  <c r="AV58" i="13" l="1"/>
  <c r="AV13" i="12"/>
  <c r="AV18" i="12" l="1"/>
  <c r="AV8" i="11" l="1"/>
  <c r="AV8" i="13"/>
  <c r="AV46" i="13" l="1"/>
  <c r="AV59" i="13" s="1"/>
  <c r="AV30" i="11"/>
  <c r="AV108" i="13" l="1"/>
  <c r="AV112" i="13" l="1"/>
  <c r="AV110" i="13"/>
  <c r="AV111" i="13" s="1"/>
  <c r="AV114" i="13" l="1"/>
  <c r="AV118" i="13" s="1"/>
  <c r="AV113" i="13"/>
  <c r="AV116" i="13" s="1"/>
  <c r="AV117" i="13" l="1"/>
  <c r="AV60" i="13" s="1"/>
  <c r="AV61" i="13"/>
  <c r="AV123" i="13"/>
  <c r="AV237" i="27" s="1"/>
  <c r="AV259" i="27" s="1"/>
  <c r="AV122" i="13" l="1"/>
  <c r="AV236" i="27" s="1"/>
  <c r="AV280" i="27" s="1"/>
  <c r="AV282" i="27" s="1"/>
  <c r="AV283" i="27" s="1"/>
  <c r="AV287" i="27" s="1"/>
  <c r="AV126" i="13"/>
  <c r="AV11" i="11" s="1"/>
  <c r="AV33" i="11" s="1"/>
  <c r="AV258" i="27" l="1"/>
  <c r="AV262" i="27" s="1"/>
  <c r="AV273" i="27" s="1"/>
  <c r="AV125" i="13"/>
  <c r="AV10" i="11" s="1"/>
  <c r="AV32" i="11" s="1"/>
  <c r="AV36" i="11" s="1"/>
  <c r="AV46" i="11" s="1"/>
  <c r="AV272" i="27" l="1"/>
  <c r="AV288" i="27" s="1"/>
  <c r="AV289" i="27" s="1"/>
  <c r="AW286" i="27" s="1"/>
  <c r="AV54" i="11"/>
  <c r="AV56" i="11" s="1"/>
  <c r="AV57" i="11" s="1"/>
  <c r="AV61" i="11" s="1"/>
  <c r="AV62" i="11" s="1"/>
  <c r="AV63" i="11" s="1"/>
  <c r="AW60" i="11" s="1"/>
  <c r="AV47" i="11"/>
  <c r="AV69" i="11"/>
  <c r="AV75" i="11"/>
  <c r="AV295" i="27" l="1"/>
  <c r="AV297" i="27" s="1"/>
  <c r="AV301" i="27"/>
  <c r="AV291" i="27"/>
  <c r="AV65" i="11"/>
  <c r="AV70" i="11"/>
  <c r="AV71" i="11"/>
  <c r="AV296" i="27" l="1"/>
  <c r="AV302" i="27" s="1"/>
  <c r="AV76" i="11"/>
  <c r="AV77" i="11" s="1"/>
  <c r="AW74" i="11" s="1"/>
  <c r="AV80" i="11" l="1"/>
  <c r="AV81" i="11" s="1"/>
  <c r="AV82" i="11" s="1"/>
  <c r="AV85" i="11" s="1"/>
  <c r="AV306" i="27"/>
  <c r="AV307" i="27" s="1"/>
  <c r="AV308" i="27" s="1"/>
  <c r="AV303" i="27"/>
  <c r="AW300" i="27" s="1"/>
  <c r="AV19" i="12" l="1"/>
  <c r="AV22" i="12" s="1"/>
  <c r="AV14" i="29"/>
  <c r="AV311" i="27"/>
  <c r="AV17" i="13"/>
  <c r="AV62" i="13" s="1"/>
  <c r="AV89" i="11"/>
  <c r="AV24" i="12" l="1"/>
  <c r="AV19" i="33"/>
  <c r="AV90" i="11"/>
  <c r="AV93" i="11"/>
  <c r="AV99" i="11"/>
  <c r="AV18" i="13"/>
  <c r="AV315" i="27"/>
  <c r="AV16" i="29"/>
  <c r="AV70" i="40" l="1"/>
  <c r="AV51" i="40" a="1"/>
  <c r="AV51" i="40" s="1"/>
  <c r="AV19" i="34"/>
  <c r="AV58" i="33"/>
  <c r="AV62" i="33" s="1"/>
  <c r="AV23" i="33" s="1"/>
  <c r="AV71" i="40"/>
  <c r="AV52" i="40" a="1"/>
  <c r="AV52" i="40" s="1"/>
  <c r="AV316" i="27"/>
  <c r="AV325" i="27"/>
  <c r="AV319" i="27"/>
  <c r="AV63" i="13"/>
  <c r="AV95" i="11"/>
  <c r="AV94" i="11"/>
  <c r="AV100" i="11" l="1"/>
  <c r="AV104" i="11" s="1"/>
  <c r="AV105" i="11" s="1"/>
  <c r="AV19" i="13" s="1"/>
  <c r="AV64" i="13" s="1"/>
  <c r="AV320" i="27"/>
  <c r="AV321" i="27"/>
  <c r="AV26" i="33"/>
  <c r="AV27" i="33" s="1"/>
  <c r="AV47" i="33"/>
  <c r="AV48" i="33" s="1"/>
  <c r="AV58" i="34"/>
  <c r="AV62" i="34" s="1"/>
  <c r="AV23" i="34" s="1"/>
  <c r="AV101" i="11" l="1"/>
  <c r="AV51" i="33"/>
  <c r="AV52" i="33" s="1"/>
  <c r="AV26" i="34"/>
  <c r="AV27" i="34" s="1"/>
  <c r="AV47" i="34"/>
  <c r="AV48" i="34" s="1"/>
  <c r="AV49" i="33"/>
  <c r="AV28" i="33"/>
  <c r="AV326" i="27"/>
  <c r="AW53" i="33" l="1"/>
  <c r="AW55" i="33" s="1"/>
  <c r="AW61" i="33" s="1"/>
  <c r="AW98" i="11"/>
  <c r="AV67" i="40"/>
  <c r="AV48" i="40" a="1"/>
  <c r="AV48" i="40" s="1"/>
  <c r="AV53" i="40" a="1"/>
  <c r="AV53" i="40" s="1"/>
  <c r="AV49" i="34"/>
  <c r="AV51" i="34"/>
  <c r="AV52" i="34" s="1"/>
  <c r="AV327" i="27"/>
  <c r="AW324" i="27" s="1"/>
  <c r="AV330" i="27"/>
  <c r="AV331" i="27" s="1"/>
  <c r="AW30" i="33"/>
  <c r="AW60" i="33" s="1"/>
  <c r="AV72" i="40"/>
  <c r="AV28" i="34"/>
  <c r="AW53" i="34" l="1"/>
  <c r="AW55" i="34" s="1"/>
  <c r="AW61" i="34" s="1"/>
  <c r="AV54" i="40" a="1"/>
  <c r="AV54" i="40" s="1"/>
  <c r="AV20" i="13"/>
  <c r="AV49" i="40" a="1"/>
  <c r="AV49" i="40" s="1"/>
  <c r="AV68" i="40"/>
  <c r="AW30" i="34"/>
  <c r="AW60" i="34" s="1"/>
  <c r="AV73" i="40"/>
  <c r="AV65" i="13" l="1"/>
  <c r="AV66" i="13" s="1"/>
  <c r="AV97" i="13" l="1"/>
  <c r="AW43" i="13"/>
  <c r="AW45" i="13" l="1"/>
  <c r="AW71" i="13"/>
  <c r="AV47" i="40" a="1"/>
  <c r="AV47" i="40" s="1"/>
  <c r="AV66" i="40"/>
  <c r="AW121" i="13" l="1"/>
  <c r="AW85" i="13"/>
  <c r="AW89" i="13" l="1"/>
  <c r="AW87" i="13"/>
  <c r="AW90" i="13" s="1"/>
  <c r="AW91" i="13" s="1"/>
  <c r="AW92" i="13" l="1"/>
  <c r="AW93" i="13" l="1"/>
  <c r="AW95" i="13" l="1"/>
  <c r="AW96" i="13" s="1"/>
  <c r="AW104" i="13"/>
  <c r="AW105" i="13" s="1"/>
  <c r="AW56" i="13" s="1"/>
  <c r="AW57" i="13" l="1"/>
  <c r="AW99" i="13"/>
  <c r="AW58" i="13" l="1"/>
  <c r="AW13" i="12"/>
  <c r="AW18" i="12" l="1"/>
  <c r="AW8" i="13" l="1"/>
  <c r="AW8" i="11"/>
  <c r="AW46" i="13" l="1"/>
  <c r="AW59" i="13" s="1"/>
  <c r="AW30" i="11"/>
  <c r="AW108" i="13" l="1"/>
  <c r="AW110" i="13" l="1"/>
  <c r="AW111" i="13" s="1"/>
  <c r="AW112" i="13"/>
  <c r="AW114" i="13" l="1"/>
  <c r="AW118" i="13" s="1"/>
  <c r="AW113" i="13"/>
  <c r="AW116" i="13" s="1"/>
  <c r="AW117" i="13" l="1"/>
  <c r="AW60" i="13" s="1"/>
  <c r="AW123" i="13"/>
  <c r="AW237" i="27" s="1"/>
  <c r="AW259" i="27" s="1"/>
  <c r="AW61" i="13"/>
  <c r="AW122" i="13" l="1"/>
  <c r="AW236" i="27" s="1"/>
  <c r="AW280" i="27" s="1"/>
  <c r="AW282" i="27" s="1"/>
  <c r="AW283" i="27" s="1"/>
  <c r="AW287" i="27" s="1"/>
  <c r="AW126" i="13"/>
  <c r="AW11" i="11" s="1"/>
  <c r="AW33" i="11" s="1"/>
  <c r="AW125" i="13" l="1"/>
  <c r="AW10" i="11" s="1"/>
  <c r="AW32" i="11" s="1"/>
  <c r="AW36" i="11" s="1"/>
  <c r="AW258" i="27"/>
  <c r="AW262" i="27" s="1"/>
  <c r="AW272" i="27" s="1"/>
  <c r="AW54" i="11" l="1"/>
  <c r="AW56" i="11" s="1"/>
  <c r="AW57" i="11" s="1"/>
  <c r="AW61" i="11" s="1"/>
  <c r="AW273" i="27"/>
  <c r="AW301" i="27"/>
  <c r="AW295" i="27"/>
  <c r="AW288" i="27"/>
  <c r="AW289" i="27" s="1"/>
  <c r="AX286" i="27" s="1"/>
  <c r="AW47" i="11"/>
  <c r="AW46" i="11"/>
  <c r="AW297" i="27" l="1"/>
  <c r="AW296" i="27"/>
  <c r="AW62" i="11"/>
  <c r="AW63" i="11" s="1"/>
  <c r="AX60" i="11" s="1"/>
  <c r="AW69" i="11"/>
  <c r="AW75" i="11"/>
  <c r="AW291" i="27"/>
  <c r="AW70" i="11" l="1"/>
  <c r="AW71" i="11"/>
  <c r="AW302" i="27"/>
  <c r="AW303" i="27" s="1"/>
  <c r="AX300" i="27" s="1"/>
  <c r="AW65" i="11"/>
  <c r="AW306" i="27" l="1"/>
  <c r="AW76" i="11"/>
  <c r="AW77" i="11" s="1"/>
  <c r="AX74" i="11" s="1"/>
  <c r="AW80" i="11" l="1"/>
  <c r="AW81" i="11" s="1"/>
  <c r="AW82" i="11" s="1"/>
  <c r="AW307" i="27"/>
  <c r="AW308" i="27" s="1"/>
  <c r="AW14" i="29" l="1"/>
  <c r="AW311" i="27"/>
  <c r="AW85" i="11"/>
  <c r="AW19" i="12"/>
  <c r="AW17" i="13" l="1"/>
  <c r="AW62" i="13" s="1"/>
  <c r="AW89" i="11"/>
  <c r="AW22" i="12"/>
  <c r="AW18" i="13"/>
  <c r="AW315" i="27"/>
  <c r="AW16" i="29"/>
  <c r="AW63" i="13" l="1"/>
  <c r="AW19" i="33"/>
  <c r="AW24" i="12"/>
  <c r="AW19" i="34"/>
  <c r="AW52" i="40" a="1"/>
  <c r="AW52" i="40" s="1"/>
  <c r="AW90" i="11"/>
  <c r="AW93" i="11"/>
  <c r="AW99" i="11"/>
  <c r="AW71" i="40"/>
  <c r="AW316" i="27"/>
  <c r="AW319" i="27"/>
  <c r="AW325" i="27"/>
  <c r="AW51" i="40" l="1" a="1"/>
  <c r="AW51" i="40" s="1"/>
  <c r="AW94" i="11"/>
  <c r="AW95" i="11"/>
  <c r="AW58" i="34"/>
  <c r="AW62" i="34" s="1"/>
  <c r="AW23" i="34" s="1"/>
  <c r="AW58" i="33"/>
  <c r="AW62" i="33" s="1"/>
  <c r="AW23" i="33" s="1"/>
  <c r="AW70" i="40"/>
  <c r="AW321" i="27"/>
  <c r="AW320" i="27"/>
  <c r="AW326" i="27" l="1"/>
  <c r="AW330" i="27" s="1"/>
  <c r="AW331" i="27" s="1"/>
  <c r="AW20" i="13" s="1"/>
  <c r="AW100" i="11"/>
  <c r="AW47" i="34"/>
  <c r="AW48" i="34" s="1"/>
  <c r="AW26" i="34"/>
  <c r="AW26" i="33"/>
  <c r="AW27" i="33" s="1"/>
  <c r="AW28" i="33" s="1"/>
  <c r="AX30" i="33" s="1"/>
  <c r="AX60" i="33" s="1"/>
  <c r="AW47" i="33"/>
  <c r="AW48" i="33" s="1"/>
  <c r="AW327" i="27" l="1"/>
  <c r="AX324" i="27" s="1"/>
  <c r="AW51" i="33"/>
  <c r="AW52" i="33" s="1"/>
  <c r="AW104" i="11"/>
  <c r="AW105" i="11" s="1"/>
  <c r="AW19" i="13" s="1"/>
  <c r="AW64" i="13" s="1"/>
  <c r="AW101" i="11"/>
  <c r="AW27" i="34"/>
  <c r="AW51" i="34" s="1"/>
  <c r="AW52" i="34" s="1"/>
  <c r="AW49" i="33"/>
  <c r="AW65" i="13"/>
  <c r="AW68" i="40" l="1"/>
  <c r="AW49" i="40" a="1"/>
  <c r="AW49" i="40" s="1"/>
  <c r="AX53" i="33"/>
  <c r="AX55" i="33" s="1"/>
  <c r="AX61" i="33" s="1"/>
  <c r="AW66" i="13"/>
  <c r="AX43" i="13" s="1"/>
  <c r="AW72" i="40"/>
  <c r="AX98" i="11"/>
  <c r="AW48" i="40" a="1"/>
  <c r="AW48" i="40" s="1"/>
  <c r="AW67" i="40"/>
  <c r="AW53" i="40" a="1"/>
  <c r="AW53" i="40" s="1"/>
  <c r="AW49" i="34"/>
  <c r="AX53" i="34" s="1"/>
  <c r="AX55" i="34" s="1"/>
  <c r="AX61" i="34" s="1"/>
  <c r="AW28" i="34"/>
  <c r="AW97" i="13" l="1"/>
  <c r="AW66" i="40" s="1"/>
  <c r="AX30" i="34"/>
  <c r="AX60" i="34" s="1"/>
  <c r="AW54" i="40" a="1"/>
  <c r="AW54" i="40" s="1"/>
  <c r="AW73" i="40"/>
  <c r="AX45" i="13"/>
  <c r="AX71" i="13"/>
  <c r="AW47" i="40" l="1" a="1"/>
  <c r="AW47" i="40" s="1"/>
  <c r="AX121" i="13"/>
  <c r="AX85" i="13"/>
  <c r="AX87" i="13" l="1"/>
  <c r="AX90" i="13" s="1"/>
  <c r="AX91" i="13" s="1"/>
  <c r="AX89" i="13"/>
  <c r="AX92" i="13" l="1"/>
  <c r="AX93" i="13" s="1"/>
  <c r="AX104" i="13" l="1"/>
  <c r="AX105" i="13" s="1"/>
  <c r="AX56" i="13" s="1"/>
  <c r="AX95" i="13"/>
  <c r="AX96" i="13" s="1"/>
  <c r="AX57" i="13" l="1"/>
  <c r="AX99" i="13"/>
  <c r="AX58" i="13" l="1"/>
  <c r="AX13" i="12"/>
  <c r="AX18" i="12" l="1"/>
  <c r="AX8" i="11" l="1"/>
  <c r="AX8" i="13"/>
  <c r="AX30" i="11" l="1"/>
  <c r="AX46" i="13"/>
  <c r="AX59" i="13" s="1"/>
  <c r="AX108" i="13" l="1"/>
  <c r="AX110" i="13" l="1"/>
  <c r="AX111" i="13" s="1"/>
  <c r="AX112" i="13"/>
  <c r="AX114" i="13" l="1"/>
  <c r="AX118" i="13" s="1"/>
  <c r="AX113" i="13"/>
  <c r="AX116" i="13" s="1"/>
  <c r="AX117" i="13" l="1"/>
  <c r="AX122" i="13" s="1"/>
  <c r="AX236" i="27" s="1"/>
  <c r="AX61" i="13"/>
  <c r="AX123" i="13"/>
  <c r="AX237" i="27" s="1"/>
  <c r="AX259" i="27" s="1"/>
  <c r="AX60" i="13" l="1"/>
  <c r="AX126" i="13"/>
  <c r="AX11" i="11" s="1"/>
  <c r="AX33" i="11" s="1"/>
  <c r="AX280" i="27"/>
  <c r="AX282" i="27" s="1"/>
  <c r="AX283" i="27" s="1"/>
  <c r="AX287" i="27" s="1"/>
  <c r="AX258" i="27"/>
  <c r="AX262" i="27" s="1"/>
  <c r="AX125" i="13"/>
  <c r="AX10" i="11" s="1"/>
  <c r="AX54" i="11" l="1"/>
  <c r="AX56" i="11" s="1"/>
  <c r="AX57" i="11" s="1"/>
  <c r="AX61" i="11" s="1"/>
  <c r="AX32" i="11"/>
  <c r="AX36" i="11" s="1"/>
  <c r="AX272" i="27"/>
  <c r="AX273" i="27"/>
  <c r="AX301" i="27" l="1"/>
  <c r="AX295" i="27"/>
  <c r="AX288" i="27"/>
  <c r="AX289" i="27" s="1"/>
  <c r="AY286" i="27" s="1"/>
  <c r="AX46" i="11"/>
  <c r="AX47" i="11"/>
  <c r="AX62" i="11" l="1"/>
  <c r="AX63" i="11" s="1"/>
  <c r="AY60" i="11" s="1"/>
  <c r="AX75" i="11"/>
  <c r="AX69" i="11"/>
  <c r="AX297" i="27"/>
  <c r="AX296" i="27"/>
  <c r="AX291" i="27"/>
  <c r="AX65" i="11" l="1"/>
  <c r="AX302" i="27"/>
  <c r="AX303" i="27" s="1"/>
  <c r="AY300" i="27" s="1"/>
  <c r="AX70" i="11"/>
  <c r="AX71" i="11"/>
  <c r="AX306" i="27" l="1"/>
  <c r="AX307" i="27" s="1"/>
  <c r="AX308" i="27" s="1"/>
  <c r="AX14" i="29" s="1"/>
  <c r="AX76" i="11"/>
  <c r="AX311" i="27" l="1"/>
  <c r="AX315" i="27" s="1"/>
  <c r="AX16" i="29"/>
  <c r="AX71" i="40" s="1"/>
  <c r="AX80" i="11"/>
  <c r="AX81" i="11" s="1"/>
  <c r="AX82" i="11" s="1"/>
  <c r="AX77" i="11"/>
  <c r="AY74" i="11" s="1"/>
  <c r="AX18" i="13" l="1"/>
  <c r="AX63" i="13" s="1"/>
  <c r="AX19" i="12"/>
  <c r="AX85" i="11"/>
  <c r="AX19" i="34"/>
  <c r="AX52" i="40" a="1"/>
  <c r="AX52" i="40" s="1"/>
  <c r="AX325" i="27"/>
  <c r="AX319" i="27"/>
  <c r="AX316" i="27"/>
  <c r="AX320" i="27" l="1"/>
  <c r="AX321" i="27"/>
  <c r="AX58" i="34"/>
  <c r="AX62" i="34" s="1"/>
  <c r="AX23" i="34" s="1"/>
  <c r="AX17" i="13"/>
  <c r="AX62" i="13" s="1"/>
  <c r="AX89" i="11"/>
  <c r="AX22" i="12"/>
  <c r="AX24" i="12" l="1"/>
  <c r="AX19" i="33"/>
  <c r="AX26" i="34"/>
  <c r="AX47" i="34"/>
  <c r="AX48" i="34" s="1"/>
  <c r="AX99" i="11"/>
  <c r="AX90" i="11"/>
  <c r="AX93" i="11"/>
  <c r="AX326" i="27"/>
  <c r="AX330" i="27" l="1"/>
  <c r="AX331" i="27" s="1"/>
  <c r="AX327" i="27"/>
  <c r="AY324" i="27" s="1"/>
  <c r="AX94" i="11"/>
  <c r="AX95" i="11"/>
  <c r="AX27" i="34"/>
  <c r="AX58" i="33"/>
  <c r="AX62" i="33" s="1"/>
  <c r="AX23" i="33" s="1"/>
  <c r="AX70" i="40"/>
  <c r="AX51" i="40" a="1"/>
  <c r="AX51" i="40" s="1"/>
  <c r="AX47" i="33" l="1"/>
  <c r="AX48" i="33" s="1"/>
  <c r="AX26" i="33"/>
  <c r="AX27" i="33" s="1"/>
  <c r="AX49" i="34"/>
  <c r="AX28" i="34"/>
  <c r="AX100" i="11"/>
  <c r="AX51" i="34"/>
  <c r="AX52" i="34" s="1"/>
  <c r="AX20" i="13"/>
  <c r="AX49" i="40" a="1"/>
  <c r="AX49" i="40" s="1"/>
  <c r="AX68" i="40"/>
  <c r="AX49" i="33" l="1"/>
  <c r="AX51" i="33"/>
  <c r="AX52" i="33" s="1"/>
  <c r="AX73" i="40"/>
  <c r="AX65" i="13"/>
  <c r="AX104" i="11"/>
  <c r="AX105" i="11" s="1"/>
  <c r="AX101" i="11"/>
  <c r="AY98" i="11" s="1"/>
  <c r="AY30" i="34"/>
  <c r="AY60" i="34" s="1"/>
  <c r="AX54" i="40" a="1"/>
  <c r="AX54" i="40" s="1"/>
  <c r="AY53" i="34"/>
  <c r="AY55" i="34" s="1"/>
  <c r="AY61" i="34" s="1"/>
  <c r="AX28" i="33"/>
  <c r="AY53" i="33" l="1"/>
  <c r="AY55" i="33" s="1"/>
  <c r="AY61" i="33" s="1"/>
  <c r="AY30" i="33"/>
  <c r="AY60" i="33" s="1"/>
  <c r="AX53" i="40" a="1"/>
  <c r="AX53" i="40" s="1"/>
  <c r="AX72" i="40"/>
  <c r="AX19" i="13"/>
  <c r="AX67" i="40"/>
  <c r="AX48" i="40" a="1"/>
  <c r="AX48" i="40" s="1"/>
  <c r="AX64" i="13" l="1"/>
  <c r="AX66" i="13" s="1"/>
  <c r="AX97" i="13" l="1"/>
  <c r="AY43" i="13"/>
  <c r="AY71" i="13" l="1"/>
  <c r="AY45" i="13"/>
  <c r="AX66" i="40"/>
  <c r="AX47" i="40" a="1"/>
  <c r="AX47" i="40" s="1"/>
  <c r="AY121" i="13" l="1"/>
  <c r="AY85" i="13"/>
  <c r="AY89" i="13" l="1"/>
  <c r="AY87" i="13"/>
  <c r="AY90" i="13" s="1"/>
  <c r="AY91" i="13" s="1"/>
  <c r="AY92" i="13" l="1"/>
  <c r="AY93" i="13" l="1"/>
  <c r="AY95" i="13" l="1"/>
  <c r="AY96" i="13" s="1"/>
  <c r="AY104" i="13"/>
  <c r="AY105" i="13" s="1"/>
  <c r="AY56" i="13" s="1"/>
  <c r="AY57" i="13" l="1"/>
  <c r="AY99" i="13"/>
  <c r="AY58" i="13" l="1"/>
  <c r="AY13" i="12"/>
  <c r="AY18" i="12" l="1"/>
  <c r="AY8" i="11" l="1"/>
  <c r="AY8" i="13"/>
  <c r="AY46" i="13" l="1"/>
  <c r="AY59" i="13" s="1"/>
  <c r="AY30" i="11"/>
  <c r="AY108" i="13" l="1"/>
  <c r="AY112" i="13" l="1"/>
  <c r="AY110" i="13"/>
  <c r="AY111" i="13" s="1"/>
  <c r="AY113" i="13" l="1"/>
  <c r="AY116" i="13" s="1"/>
  <c r="AY114" i="13"/>
  <c r="AY118" i="13" s="1"/>
  <c r="AY117" i="13" l="1"/>
  <c r="AY122" i="13" s="1"/>
  <c r="AY236" i="27" s="1"/>
  <c r="AY123" i="13"/>
  <c r="AY237" i="27" s="1"/>
  <c r="AY259" i="27" s="1"/>
  <c r="AY61" i="13"/>
  <c r="AY60" i="13" l="1"/>
  <c r="AY126" i="13"/>
  <c r="AY11" i="11" s="1"/>
  <c r="AY33" i="11" s="1"/>
  <c r="AY280" i="27"/>
  <c r="AY282" i="27" s="1"/>
  <c r="AY283" i="27" s="1"/>
  <c r="AY287" i="27" s="1"/>
  <c r="AY258" i="27"/>
  <c r="AY262" i="27" s="1"/>
  <c r="AY125" i="13"/>
  <c r="AY10" i="11" s="1"/>
  <c r="AY54" i="11" l="1"/>
  <c r="AY56" i="11" s="1"/>
  <c r="AY57" i="11" s="1"/>
  <c r="AY61" i="11" s="1"/>
  <c r="AY32" i="11"/>
  <c r="AY36" i="11" s="1"/>
  <c r="AY272" i="27"/>
  <c r="AY273" i="27"/>
  <c r="AY288" i="27" l="1"/>
  <c r="AY289" i="27" s="1"/>
  <c r="AY301" i="27"/>
  <c r="AY295" i="27"/>
  <c r="AY46" i="11"/>
  <c r="AY47" i="11"/>
  <c r="AY62" i="11" l="1"/>
  <c r="AY63" i="11" s="1"/>
  <c r="AY75" i="11"/>
  <c r="AY69" i="11"/>
  <c r="AY296" i="27"/>
  <c r="AY297" i="27"/>
  <c r="AY291" i="27"/>
  <c r="AY302" i="27" l="1"/>
  <c r="AY303" i="27" s="1"/>
  <c r="AY71" i="11"/>
  <c r="AY70" i="11"/>
  <c r="AY65" i="11"/>
  <c r="AY306" i="27" l="1"/>
  <c r="AY307" i="27" s="1"/>
  <c r="AY308" i="27" s="1"/>
  <c r="AY311" i="27" s="1"/>
  <c r="AY76" i="11"/>
  <c r="AY77" i="11" s="1"/>
  <c r="AY14" i="29" l="1"/>
  <c r="AY80" i="11"/>
  <c r="AY81" i="11" s="1"/>
  <c r="AY82" i="11" s="1"/>
  <c r="AY85" i="11" s="1"/>
  <c r="AY18" i="13"/>
  <c r="AY315" i="27"/>
  <c r="AY19" i="12" l="1"/>
  <c r="AY22" i="12" s="1"/>
  <c r="AY16" i="29"/>
  <c r="AY52" i="40" s="1" a="1"/>
  <c r="AY52" i="40" s="1"/>
  <c r="AY316" i="27"/>
  <c r="AY325" i="27"/>
  <c r="AY319" i="27"/>
  <c r="AY63" i="13"/>
  <c r="AY17" i="13"/>
  <c r="AY62" i="13" s="1"/>
  <c r="AY89" i="11"/>
  <c r="AY19" i="34" l="1"/>
  <c r="AY58" i="34" s="1"/>
  <c r="AY62" i="34" s="1"/>
  <c r="AY23" i="34" s="1"/>
  <c r="AY71" i="40"/>
  <c r="AY99" i="11"/>
  <c r="AY93" i="11"/>
  <c r="AY90" i="11"/>
  <c r="AY24" i="12"/>
  <c r="AY19" i="33"/>
  <c r="AY321" i="27"/>
  <c r="AY320" i="27"/>
  <c r="AY326" i="27" l="1"/>
  <c r="AY47" i="34"/>
  <c r="AY48" i="34" s="1"/>
  <c r="AY26" i="34"/>
  <c r="AY27" i="34" s="1"/>
  <c r="AY28" i="34" s="1"/>
  <c r="AY58" i="33"/>
  <c r="AY62" i="33" s="1"/>
  <c r="AY23" i="33" s="1"/>
  <c r="AY51" i="40" a="1"/>
  <c r="AY51" i="40" s="1"/>
  <c r="AY70" i="40"/>
  <c r="AY94" i="11"/>
  <c r="AY95" i="11"/>
  <c r="AY100" i="11" l="1"/>
  <c r="AY101" i="11" s="1"/>
  <c r="AY51" i="34"/>
  <c r="AY52" i="34" s="1"/>
  <c r="AY327" i="27"/>
  <c r="AY330" i="27"/>
  <c r="AY331" i="27" s="1"/>
  <c r="AY20" i="13" s="1"/>
  <c r="AY65" i="13" s="1"/>
  <c r="AY26" i="33"/>
  <c r="AY47" i="33"/>
  <c r="AY48" i="33" s="1"/>
  <c r="AY49" i="34"/>
  <c r="AY73" i="40" l="1"/>
  <c r="AY104" i="11"/>
  <c r="AY105" i="11" s="1"/>
  <c r="AY19" i="13" s="1"/>
  <c r="AY68" i="40"/>
  <c r="AY49" i="40" a="1"/>
  <c r="AY49" i="40" s="1"/>
  <c r="AY27" i="33"/>
  <c r="AY51" i="33" s="1"/>
  <c r="AY52" i="33" s="1"/>
  <c r="AY54" i="40" a="1"/>
  <c r="AY54" i="40" s="1"/>
  <c r="AY48" i="40" l="1" a="1"/>
  <c r="AY48" i="40" s="1"/>
  <c r="AY67" i="40"/>
  <c r="AY49" i="33"/>
  <c r="AY28" i="33"/>
  <c r="AY64" i="13"/>
  <c r="AY66" i="13" s="1"/>
  <c r="AY97" i="13" s="1"/>
  <c r="AY47" i="40" l="1" a="1"/>
  <c r="AY47" i="40" s="1"/>
  <c r="AY66" i="40"/>
  <c r="AY53" i="40" a="1"/>
  <c r="AY53" i="40" s="1"/>
  <c r="AY72" i="40"/>
  <c r="I21" i="40" l="1"/>
  <c r="I20" i="40"/>
  <c r="I7" i="40" l="1"/>
  <c r="H1" i="29" s="1"/>
  <c r="H1" i="14" l="1"/>
  <c r="H1" i="22"/>
  <c r="H1" i="35"/>
  <c r="H1" i="11"/>
  <c r="H1" i="32"/>
  <c r="H1" i="9"/>
  <c r="H1" i="4"/>
  <c r="H1" i="26"/>
  <c r="H1" i="15"/>
  <c r="H1" i="33"/>
  <c r="H1" i="38"/>
  <c r="H1" i="13"/>
  <c r="H1" i="8"/>
  <c r="H1" i="25"/>
  <c r="H1" i="12"/>
  <c r="H1" i="2"/>
  <c r="H1" i="34"/>
  <c r="H1" i="27"/>
  <c r="H1" i="4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<sst xmlns="http://schemas.openxmlformats.org/spreadsheetml/2006/main" count="4614" uniqueCount="1163">
  <si>
    <t>Parameter</t>
  </si>
  <si>
    <t>Licence condition</t>
  </si>
  <si>
    <t>Units</t>
  </si>
  <si>
    <t>Term</t>
  </si>
  <si>
    <t>Constant</t>
  </si>
  <si>
    <t>Annual values</t>
  </si>
  <si>
    <t>PCFM year ending</t>
  </si>
  <si>
    <t>Variable inputs</t>
  </si>
  <si>
    <t>Actual totex</t>
  </si>
  <si>
    <t>Capitalisation rate 1</t>
  </si>
  <si>
    <t>&gt;</t>
  </si>
  <si>
    <t>Capitalisation rate 2</t>
  </si>
  <si>
    <t>Pass-through costs</t>
  </si>
  <si>
    <t>SpC 6.1</t>
  </si>
  <si>
    <t>Prescribed Rates</t>
  </si>
  <si>
    <t>Incentive revenue</t>
  </si>
  <si>
    <t>SpC 4.2</t>
  </si>
  <si>
    <t>Other revenue allowances</t>
  </si>
  <si>
    <t>SpC 5.2</t>
  </si>
  <si>
    <t>SpC 5.3</t>
  </si>
  <si>
    <t>Legacy adjustments</t>
  </si>
  <si>
    <t>scalar</t>
  </si>
  <si>
    <t>Directly remunerated services</t>
  </si>
  <si>
    <t>Finance inputs</t>
  </si>
  <si>
    <t>Adjusted net debt</t>
  </si>
  <si>
    <t>Tax deductible net interest cost</t>
  </si>
  <si>
    <t>Tax allowance adjustment</t>
  </si>
  <si>
    <t>SpC 2.2</t>
  </si>
  <si>
    <t>Tax liability allowance adjustments - driven by tax trigger events</t>
  </si>
  <si>
    <t>General pool capital allowance opening balance brought forward</t>
  </si>
  <si>
    <t>Special Rate capital allowance opening balance brought forward</t>
  </si>
  <si>
    <t>Tax loss brought forward</t>
  </si>
  <si>
    <t>Totex allocation to "General" tax pool</t>
  </si>
  <si>
    <t>%</t>
  </si>
  <si>
    <t>Totex allocation to "Special Rate" tax pool</t>
  </si>
  <si>
    <t>Totex allocation to "Structures and Buildings" tax pool</t>
  </si>
  <si>
    <t>Totex allocation to "Deferred Revenue" tax pool</t>
  </si>
  <si>
    <t>Totex allocation to "Revenue" tax pool</t>
  </si>
  <si>
    <t>Totex allocation to "Non Qualifying" tax pool</t>
  </si>
  <si>
    <t>Variant allowances</t>
  </si>
  <si>
    <t>Variant allowances (including Real Price Effects)</t>
  </si>
  <si>
    <t>SpC 3.1</t>
  </si>
  <si>
    <t>SpC 3.10</t>
  </si>
  <si>
    <t>SpC 3.11</t>
  </si>
  <si>
    <t>SpC 3.12</t>
  </si>
  <si>
    <t>SpC 3.13</t>
  </si>
  <si>
    <t>SpC 3.2</t>
  </si>
  <si>
    <t>SpC 3.3</t>
  </si>
  <si>
    <t>SpC 3.4</t>
  </si>
  <si>
    <t>SpC 3.5</t>
  </si>
  <si>
    <t>SpC 3.16</t>
  </si>
  <si>
    <t>SpC 3.17</t>
  </si>
  <si>
    <t>SpC 3.8</t>
  </si>
  <si>
    <t>SpC 3.14</t>
  </si>
  <si>
    <t>SpC 3.6</t>
  </si>
  <si>
    <t>SpC 3.15</t>
  </si>
  <si>
    <t>SpC 3.18</t>
  </si>
  <si>
    <t>SpC 3.7</t>
  </si>
  <si>
    <t>SpC 3.9</t>
  </si>
  <si>
    <t>Variant attributes</t>
  </si>
  <si>
    <t>TIM</t>
  </si>
  <si>
    <t>CapRate 1</t>
  </si>
  <si>
    <t>CapRate 2</t>
  </si>
  <si>
    <t>Totex variant allowances allocation percentages</t>
  </si>
  <si>
    <t>Fixed Inputs</t>
  </si>
  <si>
    <t>Totex allowance</t>
  </si>
  <si>
    <t>Non-variant allowances</t>
  </si>
  <si>
    <t>Notional gearing for "Tax clawback gearing level test"</t>
  </si>
  <si>
    <t>Tax trigger deadband</t>
  </si>
  <si>
    <t>Operational performance and return adjustment</t>
  </si>
  <si>
    <t>SpC 2.3</t>
  </si>
  <si>
    <t>annual real %</t>
  </si>
  <si>
    <t>RAV and assets</t>
  </si>
  <si>
    <t>Pre-vesting assets</t>
  </si>
  <si>
    <t>Pre-vesting asset life</t>
  </si>
  <si>
    <t>years</t>
  </si>
  <si>
    <t>Post-vesting assets</t>
  </si>
  <si>
    <t>year ending</t>
  </si>
  <si>
    <t>Pre-RIIO net additions to RAV</t>
  </si>
  <si>
    <t>Pre-RIIO transfers to depreciation</t>
  </si>
  <si>
    <t>Post-vesting asset life</t>
  </si>
  <si>
    <t>iBoxx trailing average</t>
  </si>
  <si>
    <t>Risk-free rate</t>
  </si>
  <si>
    <t>RPE annual growth</t>
  </si>
  <si>
    <t>annual %</t>
  </si>
  <si>
    <t>Corporation tax rate</t>
  </si>
  <si>
    <t>General pool capital allowance rate</t>
  </si>
  <si>
    <t>Special Rates capital allowance rate</t>
  </si>
  <si>
    <t>Allowed return on capital</t>
  </si>
  <si>
    <t>Uplift on iBoxx trailing average</t>
  </si>
  <si>
    <t>Equity Beta</t>
  </si>
  <si>
    <t>Total Market Return</t>
  </si>
  <si>
    <t>RIIO-2 notional gearing</t>
  </si>
  <si>
    <t>G</t>
  </si>
  <si>
    <t>Annual notional gearing</t>
  </si>
  <si>
    <t>Finance</t>
  </si>
  <si>
    <t>Minimum equity issuance threshold</t>
  </si>
  <si>
    <t>Equity issuance costs</t>
  </si>
  <si>
    <t>Equity issuance gearing target</t>
  </si>
  <si>
    <t>CPIH index-linked debt as a percentage of net debt</t>
  </si>
  <si>
    <t>TIM and capitalisation</t>
  </si>
  <si>
    <t>year</t>
  </si>
  <si>
    <t>index</t>
  </si>
  <si>
    <t>Nominal</t>
  </si>
  <si>
    <t>Flags</t>
  </si>
  <si>
    <t>RIIO-3</t>
  </si>
  <si>
    <t>flag</t>
  </si>
  <si>
    <t>RIIO-2</t>
  </si>
  <si>
    <t>Price base</t>
  </si>
  <si>
    <t>named_range</t>
  </si>
  <si>
    <t>£m 23/24 prices</t>
  </si>
  <si>
    <t>End of sheet</t>
  </si>
  <si>
    <t>Total</t>
  </si>
  <si>
    <t>Pass-through expenditure</t>
  </si>
  <si>
    <t>Output delivery incentives</t>
  </si>
  <si>
    <t>Other revenue allowance</t>
  </si>
  <si>
    <t>Inflation and price conversion</t>
  </si>
  <si>
    <t>Price indices and inflation rates</t>
  </si>
  <si>
    <t>Price control base year</t>
  </si>
  <si>
    <t>Price conversion factors</t>
  </si>
  <si>
    <t>Real to nominal conversion factor</t>
  </si>
  <si>
    <t>Allowed return on debt</t>
  </si>
  <si>
    <t>Allowed return on equity</t>
  </si>
  <si>
    <t>Vanilla allowed return of capital</t>
  </si>
  <si>
    <t>Vanilla allowed return on capital</t>
  </si>
  <si>
    <t>Inflation</t>
  </si>
  <si>
    <t>Notional structure</t>
  </si>
  <si>
    <t>RAV indexation</t>
  </si>
  <si>
    <t>Inflation applied to indexed portion of capital structure</t>
  </si>
  <si>
    <t>Semi-nominal WACC</t>
  </si>
  <si>
    <t>RPE index</t>
  </si>
  <si>
    <t>Tax allowance</t>
  </si>
  <si>
    <t>Inputs for true ups to allowed revenue</t>
  </si>
  <si>
    <t>Other finance inputs</t>
  </si>
  <si>
    <t>Operational performance and return adjustments</t>
  </si>
  <si>
    <t>Variant allowances percentage allocation</t>
  </si>
  <si>
    <t>RPE non-variant allowances</t>
  </si>
  <si>
    <t>RPE PCDs</t>
  </si>
  <si>
    <t>RPE UMs</t>
  </si>
  <si>
    <t>Variant allowances allocation to totex categories</t>
  </si>
  <si>
    <t>Allowed totex</t>
  </si>
  <si>
    <t>Cap Rate 1</t>
  </si>
  <si>
    <t>Cap Rate 2</t>
  </si>
  <si>
    <t>Pre-TIM overspend (underspend)</t>
  </si>
  <si>
    <t>Post-TIM overspend (underspend)</t>
  </si>
  <si>
    <t>Post-TIM totex</t>
  </si>
  <si>
    <t>Capitalisation split</t>
  </si>
  <si>
    <t>Totex</t>
  </si>
  <si>
    <t>text</t>
  </si>
  <si>
    <t>Net value after regulatory depreciation</t>
  </si>
  <si>
    <t>RAV</t>
  </si>
  <si>
    <t>Cost</t>
  </si>
  <si>
    <t>Opening balance brought forward</t>
  </si>
  <si>
    <t>Balance carried forward</t>
  </si>
  <si>
    <t>Depreciation</t>
  </si>
  <si>
    <t>Pre-vesting balance</t>
  </si>
  <si>
    <t>Net additions (after disposals)</t>
  </si>
  <si>
    <t>Asset balance</t>
  </si>
  <si>
    <t>Slow money</t>
  </si>
  <si>
    <t>RAV running total</t>
  </si>
  <si>
    <t>Opening RAV (before inflation)</t>
  </si>
  <si>
    <t>Opening RAV (after inflation)</t>
  </si>
  <si>
    <t>Closing RAV</t>
  </si>
  <si>
    <t>Real</t>
  </si>
  <si>
    <t>RAV Return</t>
  </si>
  <si>
    <t>Single year discount factor</t>
  </si>
  <si>
    <t>Discounted closing RAV</t>
  </si>
  <si>
    <t>NPV-neutral RAV return base</t>
  </si>
  <si>
    <t>Tax pool additions</t>
  </si>
  <si>
    <t>Tax pool allocation</t>
  </si>
  <si>
    <t>General pool additions</t>
  </si>
  <si>
    <t>Special Rate pool additions</t>
  </si>
  <si>
    <t>Structures and Buildings pool additions</t>
  </si>
  <si>
    <t>Deferred revenue pool additions</t>
  </si>
  <si>
    <t>Non-qualifying expenditure</t>
  </si>
  <si>
    <t>Revenue pool additions</t>
  </si>
  <si>
    <t>Capital allowances</t>
  </si>
  <si>
    <t>General Pool</t>
  </si>
  <si>
    <t>Tax book value pre-depreciation</t>
  </si>
  <si>
    <t>General pool capital allowance (reducing balance)</t>
  </si>
  <si>
    <t>Closing balance carried forward</t>
  </si>
  <si>
    <t>Transfer</t>
  </si>
  <si>
    <t>Closing balance carried forward (limited to 0)</t>
  </si>
  <si>
    <t>Special rates Pool</t>
  </si>
  <si>
    <t>Structures and Buildings pool</t>
  </si>
  <si>
    <t>Structures and Buildings capital allowance (straight line)</t>
  </si>
  <si>
    <t>Deferred revenue expenditure</t>
  </si>
  <si>
    <t>Deferred revenue expenditure capital allowance (straight line)</t>
  </si>
  <si>
    <t>Total capital allowances</t>
  </si>
  <si>
    <t>General pool</t>
  </si>
  <si>
    <t>Special Rates pool</t>
  </si>
  <si>
    <t>Calculated revenue (before tax)</t>
  </si>
  <si>
    <t>Tax allowance (including adjustment)</t>
  </si>
  <si>
    <t>Corporation tax charge after losses</t>
  </si>
  <si>
    <t>Closing net debt (before tax and debt costs)</t>
  </si>
  <si>
    <t>Core net debt</t>
  </si>
  <si>
    <t>Start of price control notional debt re-set</t>
  </si>
  <si>
    <t>Equity issuance</t>
  </si>
  <si>
    <t>Closing value</t>
  </si>
  <si>
    <t>Regearing</t>
  </si>
  <si>
    <t>Overall opening gearing</t>
  </si>
  <si>
    <t>Start of price control notional regearing</t>
  </si>
  <si>
    <t>Start of price control change in notional gearing</t>
  </si>
  <si>
    <t>Financing costs</t>
  </si>
  <si>
    <t>Dividends</t>
  </si>
  <si>
    <t>Notional dividends</t>
  </si>
  <si>
    <t>Fixed rate average net debt</t>
  </si>
  <si>
    <t>CPIH rate average net debt</t>
  </si>
  <si>
    <t>Principal inflation accretion on CPIH index-linked debt</t>
  </si>
  <si>
    <t>Grossing up factor for tax on tax charge after losses</t>
  </si>
  <si>
    <t>Profit attributable to corporation tax (before Tax Clawback)</t>
  </si>
  <si>
    <t>Tax trigger calculations</t>
  </si>
  <si>
    <t>Tax trigger adjustment</t>
  </si>
  <si>
    <t>Profit impact of tax trigger</t>
  </si>
  <si>
    <t>Tax clawback calculations</t>
  </si>
  <si>
    <t>Actual gearing</t>
  </si>
  <si>
    <t>Gearing level test</t>
  </si>
  <si>
    <t>Tax clawback applies?</t>
  </si>
  <si>
    <t>Regulatory tax losses</t>
  </si>
  <si>
    <t>Taxable losses brought forward</t>
  </si>
  <si>
    <t>In-year taxable loss</t>
  </si>
  <si>
    <t>Contributions to losses from clawback</t>
  </si>
  <si>
    <t>Profits used to offset outstanding losses</t>
  </si>
  <si>
    <t>Profits attributable to corporation tax (after taxable losses)</t>
  </si>
  <si>
    <t>Tax allowance (before Tax Trigger adjustment)</t>
  </si>
  <si>
    <t>Tax paid</t>
  </si>
  <si>
    <t>Tax base</t>
  </si>
  <si>
    <t>Profits attributable to corporation tax</t>
  </si>
  <si>
    <t>Tax losses</t>
  </si>
  <si>
    <t>Revenue</t>
  </si>
  <si>
    <t>Return</t>
  </si>
  <si>
    <t>Base revenue</t>
  </si>
  <si>
    <t>Return adjustment</t>
  </si>
  <si>
    <t>Calculated revenue</t>
  </si>
  <si>
    <t>Long term CPIH inflation forecast</t>
  </si>
  <si>
    <t>Month</t>
  </si>
  <si>
    <t>Real to nominal conversion factor (financial year end)</t>
  </si>
  <si>
    <t>Real Price Effects</t>
  </si>
  <si>
    <t>RPE indexation</t>
  </si>
  <si>
    <t>RPE allowances</t>
  </si>
  <si>
    <t>Tax pools</t>
  </si>
  <si>
    <t>End sheet</t>
  </si>
  <si>
    <t>Total Post-TIM over(under)spend - cap rate 1</t>
  </si>
  <si>
    <t>Total Post-TIM over(under)spend - cap rate 2</t>
  </si>
  <si>
    <t>Post-TIM totex - cap rate 1</t>
  </si>
  <si>
    <t>Post-TIM totex - cap rate 2</t>
  </si>
  <si>
    <t>Cap on relief for carried forward losses</t>
  </si>
  <si>
    <t>Deduction allowance for carried forward losses</t>
  </si>
  <si>
    <t>Actual non-operational capex</t>
  </si>
  <si>
    <t>Licence Fees</t>
  </si>
  <si>
    <t>Secretary of State in respect of Policing Costs</t>
  </si>
  <si>
    <t>PARCA Termination Value</t>
  </si>
  <si>
    <t>Hy-Net</t>
  </si>
  <si>
    <t>RIIO-3 Network Innovation Allowance</t>
  </si>
  <si>
    <t xml:space="preserve">The Strategic Innovation Fund </t>
  </si>
  <si>
    <t>Spare 2</t>
  </si>
  <si>
    <t>Spare 3</t>
  </si>
  <si>
    <t>Pre-RIIO-1 pension true-up</t>
  </si>
  <si>
    <t>Directly remunerated services revenue</t>
  </si>
  <si>
    <t>Directly remunerated services costs</t>
  </si>
  <si>
    <t>Bacton terminal site redevelopment Price Control Deliverable</t>
  </si>
  <si>
    <t>NARM Asset Health Re-opener</t>
  </si>
  <si>
    <t>FIOCt</t>
  </si>
  <si>
    <t>FIOCREt</t>
  </si>
  <si>
    <t>Non-variant allowed non-operational capex</t>
  </si>
  <si>
    <t>Post-vesting asset life, sum of digits</t>
  </si>
  <si>
    <t>First year sum of digits depreciation (applied retrospectively to existing assets)</t>
  </si>
  <si>
    <t>First year of application to new assets, start of recovery period</t>
  </si>
  <si>
    <t>Existing assets differential depreciation recovery period</t>
  </si>
  <si>
    <t>Logged-up items and security costs asset life</t>
  </si>
  <si>
    <t>Logged-up items net additions (after disposals)</t>
  </si>
  <si>
    <t>Security costs net additions (after disposals)</t>
  </si>
  <si>
    <t>Revenue drivers</t>
  </si>
  <si>
    <t>Non-load (opex)</t>
  </si>
  <si>
    <t>Indirects (opex)</t>
  </si>
  <si>
    <t>Non-operational capex</t>
  </si>
  <si>
    <t>Opening net debt</t>
  </si>
  <si>
    <t>Tax</t>
  </si>
  <si>
    <t>Non-variant allowed controllable opex</t>
  </si>
  <si>
    <t>Controllable opex</t>
  </si>
  <si>
    <t>SpC 6.3</t>
  </si>
  <si>
    <t>Pension Scheme Established Deficit</t>
  </si>
  <si>
    <t>Capitalisation rate</t>
  </si>
  <si>
    <t>Actual controllable opex</t>
  </si>
  <si>
    <t>Constraint management incentive revenue</t>
  </si>
  <si>
    <t>Revenue from accelerated release of incr. obl. entry capacity</t>
  </si>
  <si>
    <t xml:space="preserve">Residual balancing incentive </t>
  </si>
  <si>
    <t xml:space="preserve">Quality of demand forecasting incentive </t>
  </si>
  <si>
    <t>Greenhouse gas emissions incentive</t>
  </si>
  <si>
    <t xml:space="preserve">Maintenance incentive </t>
  </si>
  <si>
    <t>Entry capacity and exit capacity constraint management</t>
  </si>
  <si>
    <t>SO external incentives, revenues and costs</t>
  </si>
  <si>
    <t>Allowed non-operational capex</t>
  </si>
  <si>
    <t>Allowed controllable opex</t>
  </si>
  <si>
    <t>Totex applied</t>
  </si>
  <si>
    <t>Pre-TIM over(under)spend</t>
  </si>
  <si>
    <t>Post-TIM over(under)spend</t>
  </si>
  <si>
    <t>TaxPools</t>
  </si>
  <si>
    <t>Total opening regulatory assets (after transfers)</t>
  </si>
  <si>
    <t>Allocation of interest to SO</t>
  </si>
  <si>
    <t>SO allocation</t>
  </si>
  <si>
    <t>Opening balance brought forward (after transfer)</t>
  </si>
  <si>
    <t>Historic totex available</t>
  </si>
  <si>
    <t>Pre-RIIO</t>
  </si>
  <si>
    <t>Retrospective addition of logged-up and security costs</t>
  </si>
  <si>
    <t>Revenue driver transferred to RAV</t>
  </si>
  <si>
    <t>Accumulated depreciation</t>
  </si>
  <si>
    <t>Depreciation summaries</t>
  </si>
  <si>
    <t>Average net debt (except for interest and tax)</t>
  </si>
  <si>
    <t>Return&amp;RAV</t>
  </si>
  <si>
    <t>Restriction on relief for carried forward losses</t>
  </si>
  <si>
    <t>Deductions applicable</t>
  </si>
  <si>
    <t>Deduction amount</t>
  </si>
  <si>
    <t>Profits attributable if no deduction applied</t>
  </si>
  <si>
    <t>Funding Adjustment Rate ('sharing factor')</t>
  </si>
  <si>
    <t>Fast money</t>
  </si>
  <si>
    <t>Fast money - cap rate 1</t>
  </si>
  <si>
    <t>Slow money - cap rate 1</t>
  </si>
  <si>
    <t>Fast money - cap rate 2</t>
  </si>
  <si>
    <t>Slow money - cap rate 2</t>
  </si>
  <si>
    <t>Net interest expense (excluding principal inflation accretion)</t>
  </si>
  <si>
    <t>Net interest expense</t>
  </si>
  <si>
    <t>SO net interest expense (principal inflation accretion)</t>
  </si>
  <si>
    <t>SO net interest expense (excluding principal inflation accretion)</t>
  </si>
  <si>
    <t>Fixed rate net interest expense</t>
  </si>
  <si>
    <t>CPIH rate net interest expense</t>
  </si>
  <si>
    <t>Net interest expense (principal inflation accretion)</t>
  </si>
  <si>
    <t>Materiality threshold test exceeded?</t>
  </si>
  <si>
    <t>Positive benefit test</t>
  </si>
  <si>
    <t>Gearing at start of year (before equity issuance)</t>
  </si>
  <si>
    <t>Movement in net debt required for notional regearing change</t>
  </si>
  <si>
    <t>Load related capex</t>
  </si>
  <si>
    <t>Asset replacement capex</t>
  </si>
  <si>
    <t>Other capex</t>
  </si>
  <si>
    <t>Non-variant allowed load related capex</t>
  </si>
  <si>
    <t>Non-variant allowed asset replacement capex</t>
  </si>
  <si>
    <t>Non-variant allowed other capex</t>
  </si>
  <si>
    <t>Non-variant allowed non-load (opex)</t>
  </si>
  <si>
    <t>Non-variant allowed indirects (opex)</t>
  </si>
  <si>
    <t>Business Plan Incentive</t>
  </si>
  <si>
    <t>General pool opening balance adjustment</t>
  </si>
  <si>
    <t>Special Rate pool opening balance adjustment</t>
  </si>
  <si>
    <t>Totex allocation to "Special rate" tax pool</t>
  </si>
  <si>
    <t>Structures and Buildings capital allowance opening balance brought forward</t>
  </si>
  <si>
    <t>General pool additions qualifying for full expensing allowance</t>
  </si>
  <si>
    <t>General pool full expensing allowance rate</t>
  </si>
  <si>
    <t>Special Rate pool additions qualifying for first-year allowance</t>
  </si>
  <si>
    <t>Special Rate pool first-year allowance rate</t>
  </si>
  <si>
    <t>Transfers out to first-year allowance</t>
  </si>
  <si>
    <t>Transfers in from first-year allowance</t>
  </si>
  <si>
    <t>Transfers out to full expensing allowance</t>
  </si>
  <si>
    <t>Transfers in from full expensing allowance</t>
  </si>
  <si>
    <t>Transfers in to full expensing allowance</t>
  </si>
  <si>
    <t>Transfers in to first-year allowance</t>
  </si>
  <si>
    <t>Special Rates capital allowance (reducing balance)</t>
  </si>
  <si>
    <t>Special Rates Pool</t>
  </si>
  <si>
    <t>Deferred Revenue expenditure</t>
  </si>
  <si>
    <t>Pre-vesting RAV cost</t>
  </si>
  <si>
    <t>Structures and Buildings capital allowance rate</t>
  </si>
  <si>
    <t>Equity portion</t>
  </si>
  <si>
    <t>Fixed rate debt portion</t>
  </si>
  <si>
    <t>Semi-nominal index</t>
  </si>
  <si>
    <t>RAV inflation</t>
  </si>
  <si>
    <t>Other revenue allowance costs</t>
  </si>
  <si>
    <t>Deferred Revenue opening balance brought forward</t>
  </si>
  <si>
    <t>Deferred Revenue capital allowance rate</t>
  </si>
  <si>
    <t xml:space="preserve"> Load related capex </t>
  </si>
  <si>
    <t xml:space="preserve"> Asset replacement capex </t>
  </si>
  <si>
    <t xml:space="preserve"> Other capex </t>
  </si>
  <si>
    <t xml:space="preserve"> Non-operational capex </t>
  </si>
  <si>
    <t xml:space="preserve"> Non-load (opex) </t>
  </si>
  <si>
    <t xml:space="preserve"> Indirects (opex) </t>
  </si>
  <si>
    <t>Exit capacity buyback cost which users are liable to reimburse</t>
  </si>
  <si>
    <t>Carry-over Network Innovation Allowance</t>
  </si>
  <si>
    <t>Financial Year</t>
  </si>
  <si>
    <t>Pass-through and other revenue costs</t>
  </si>
  <si>
    <t>Deferred Revenue capital allowance (straight line)</t>
  </si>
  <si>
    <t>TO calculated revenue (before tax)</t>
  </si>
  <si>
    <t>SO calculated revenue (before tax)</t>
  </si>
  <si>
    <t>TO actual totex</t>
  </si>
  <si>
    <t>SO actual totex</t>
  </si>
  <si>
    <t>TO pass-through expenditure</t>
  </si>
  <si>
    <t>SO pass-through expenditure</t>
  </si>
  <si>
    <t>TO other revenue allowance costs</t>
  </si>
  <si>
    <t>SO other revenue allowance costs</t>
  </si>
  <si>
    <t>TO tax allowance (including adjustment)</t>
  </si>
  <si>
    <t>SO tax allowance</t>
  </si>
  <si>
    <t>SO corporation tax charge after losses</t>
  </si>
  <si>
    <t>TO corporation tax charge after losses</t>
  </si>
  <si>
    <t>Directly remunerated services adjustment</t>
  </si>
  <si>
    <t>Start of RIIO-3</t>
  </si>
  <si>
    <t>Price index</t>
  </si>
  <si>
    <t>Semi nominal WACC</t>
  </si>
  <si>
    <t>Rates</t>
  </si>
  <si>
    <t>Fixed rate cost of debt</t>
  </si>
  <si>
    <t>WACC</t>
  </si>
  <si>
    <t>Nominal fixed rate debt</t>
  </si>
  <si>
    <t>Closing RAV (FY end price base)</t>
  </si>
  <si>
    <t>RIIO-1</t>
  </si>
  <si>
    <t>TIM rate for allowance, inverse of Sharing Factor</t>
  </si>
  <si>
    <t>Imports</t>
  </si>
  <si>
    <t>RIIO-3 Price Control Financial Model (PCFM)</t>
  </si>
  <si>
    <t>Model key</t>
  </si>
  <si>
    <t>Sample</t>
  </si>
  <si>
    <t>Variable input</t>
  </si>
  <si>
    <t>Fixed input</t>
  </si>
  <si>
    <t>Imported value</t>
  </si>
  <si>
    <t>Linked value</t>
  </si>
  <si>
    <t>Calculation</t>
  </si>
  <si>
    <t>Contents</t>
  </si>
  <si>
    <t>Cover</t>
  </si>
  <si>
    <t>Model key and content directory</t>
  </si>
  <si>
    <t>Dataset and derivation of monthly inflation rates and price indices</t>
  </si>
  <si>
    <t>Totex allowance and actuals</t>
  </si>
  <si>
    <t>Totex Incentive Mechanism and capitalisation</t>
  </si>
  <si>
    <t>NonCore</t>
  </si>
  <si>
    <t>Tax pools and capital allowances</t>
  </si>
  <si>
    <t>Net debt, equity issuance and financing costs</t>
  </si>
  <si>
    <t>Summary of TO calculated revenue</t>
  </si>
  <si>
    <t>Summary of SO calculated revenue</t>
  </si>
  <si>
    <t>Universal input: values in TO input tabs</t>
  </si>
  <si>
    <t>Import source</t>
  </si>
  <si>
    <t>Input calculation</t>
  </si>
  <si>
    <t>Gas Transmission</t>
  </si>
  <si>
    <t>Post-vesting sum of digits</t>
  </si>
  <si>
    <t>Total additions</t>
  </si>
  <si>
    <t>Post-vesting depreciation</t>
  </si>
  <si>
    <t>RAV accruing differences</t>
  </si>
  <si>
    <t>Differential</t>
  </si>
  <si>
    <t>Recovery</t>
  </si>
  <si>
    <t>Total depreciation</t>
  </si>
  <si>
    <t>Years of pre-vesting depreciation remaining</t>
  </si>
  <si>
    <t>Sum of digits</t>
  </si>
  <si>
    <t>Sum of digits profile</t>
  </si>
  <si>
    <t>Straight line depreciation</t>
  </si>
  <si>
    <t>Closing nominal RAV</t>
  </si>
  <si>
    <t>Interest approximation</t>
  </si>
  <si>
    <t>Allowed revenue</t>
  </si>
  <si>
    <t>Closing net debt trued up to notional gearing</t>
  </si>
  <si>
    <t>Closing net debt trued up to notional gearing, pre approximated interest</t>
  </si>
  <si>
    <t>Net debt position pre-interest</t>
  </si>
  <si>
    <t>Adjusted closing net debt trued up to notional gearing, pre approximated interest</t>
  </si>
  <si>
    <t>Approximated interest</t>
  </si>
  <si>
    <t>Net debt position post approximated interest</t>
  </si>
  <si>
    <t>Closing gearing with interest approximation</t>
  </si>
  <si>
    <t>Equity issuance threshold met</t>
  </si>
  <si>
    <t>Closing gearing</t>
  </si>
  <si>
    <t>Constant gearing dividends threshold met</t>
  </si>
  <si>
    <t>Constant gearing dividends</t>
  </si>
  <si>
    <t>Other capex (net of disposals)</t>
  </si>
  <si>
    <t>Recovered Revenue</t>
  </si>
  <si>
    <t>Base Revenue (as published)</t>
  </si>
  <si>
    <t>Base Revenue penalty interest rate</t>
  </si>
  <si>
    <t>Recovered Revenue penalty interest rate</t>
  </si>
  <si>
    <t>Base Revenue Forecasting Penalty Adjustment</t>
  </si>
  <si>
    <t>Recovered Revenue Forecasting Penalty Adjustment</t>
  </si>
  <si>
    <t>Nominal WACC</t>
  </si>
  <si>
    <t>Compounding nominal WACC for TVOM adjustment</t>
  </si>
  <si>
    <t>Correction term</t>
  </si>
  <si>
    <t>Forecasting penalty</t>
  </si>
  <si>
    <t>Base Revenue</t>
  </si>
  <si>
    <t>Forecasting Penalty</t>
  </si>
  <si>
    <t>Legacy Allowed Revenue</t>
  </si>
  <si>
    <t>Less equity issuance costs</t>
  </si>
  <si>
    <t>Directly remunerated services net position</t>
  </si>
  <si>
    <t>Isle of Grain PH2 cost transfers</t>
  </si>
  <si>
    <t>Isle of Grain PH2 depreciation transfers</t>
  </si>
  <si>
    <t>Easington cost transfers</t>
  </si>
  <si>
    <t>Easington depreciation transfers</t>
  </si>
  <si>
    <t>Hornsea cost transfers</t>
  </si>
  <si>
    <t>Hornsea depreciation transfers</t>
  </si>
  <si>
    <t>Fleetwood cost transfers</t>
  </si>
  <si>
    <t>Fleetwood depreciation transfers</t>
  </si>
  <si>
    <t>Cheshire cost transfers</t>
  </si>
  <si>
    <t>Cheshire depreciation transfers</t>
  </si>
  <si>
    <t>Isle of Grain PH3 cost transfers</t>
  </si>
  <si>
    <t>Isle of Grain PH3 depreciation transfers</t>
  </si>
  <si>
    <t>Caythorpe cost transfers</t>
  </si>
  <si>
    <t>Caythorpe depreciation transfers</t>
  </si>
  <si>
    <t>Langage cost transfers</t>
  </si>
  <si>
    <t>Langage depreciation transfers</t>
  </si>
  <si>
    <t>Marchwood cost transfers</t>
  </si>
  <si>
    <t>Marchwood depreciation transfers</t>
  </si>
  <si>
    <t>Pembroke cost transfers</t>
  </si>
  <si>
    <t>Pembroke depreciation transfers</t>
  </si>
  <si>
    <t>Gilwern cost transfers</t>
  </si>
  <si>
    <t>Gilwern depreciation transfers</t>
  </si>
  <si>
    <t>SW Quad (2008/09) cost transfers</t>
  </si>
  <si>
    <t>SW Quad (2008/09) depreciation transfers</t>
  </si>
  <si>
    <t>SW Quad (2009/10) cost transfers</t>
  </si>
  <si>
    <t>SW Quad (2009/10) depreciation transfers</t>
  </si>
  <si>
    <t>North West Entry / Hole House Farm Storage cost transfers</t>
  </si>
  <si>
    <t>North West Entry / Hole House Farm Storage depreciation transfers</t>
  </si>
  <si>
    <t>Non-core cost transfers</t>
  </si>
  <si>
    <t>Non-core depreciation transfers</t>
  </si>
  <si>
    <t>TO variant allowances</t>
  </si>
  <si>
    <t>SO variant allowances</t>
  </si>
  <si>
    <t>Inputs calculations</t>
  </si>
  <si>
    <t>Transform_TO</t>
  </si>
  <si>
    <t>NGT_TO</t>
  </si>
  <si>
    <t>Input calculations</t>
  </si>
  <si>
    <t>NGT_SO</t>
  </si>
  <si>
    <t>VariantAllowances</t>
  </si>
  <si>
    <t>Transform_SO</t>
  </si>
  <si>
    <t>Revenue_TO</t>
  </si>
  <si>
    <t>Revenue_SO</t>
  </si>
  <si>
    <t>Historic splice index</t>
  </si>
  <si>
    <t>Combined RPI-CPIH price index (financial year average)</t>
  </si>
  <si>
    <t>Combined RPI-CPIH inflation (financial year average)</t>
  </si>
  <si>
    <t>Combined RPI-CPIH price index (financial year end)</t>
  </si>
  <si>
    <t>TIM applies</t>
  </si>
  <si>
    <t>RPEs apply</t>
  </si>
  <si>
    <t>Cap rate</t>
  </si>
  <si>
    <t>RPE applies</t>
  </si>
  <si>
    <t>PCD/UM</t>
  </si>
  <si>
    <t>Error check</t>
  </si>
  <si>
    <t>Master error check</t>
  </si>
  <si>
    <t>AllowedRevenue_TO</t>
  </si>
  <si>
    <t>AllowedRevenue_SO</t>
  </si>
  <si>
    <t>CPIH index (financial year average)</t>
  </si>
  <si>
    <t>CPIH inflation (financial year average)</t>
  </si>
  <si>
    <t>Regearing equity issuance costs</t>
  </si>
  <si>
    <t>Opening balance brought forward (after regearing)</t>
  </si>
  <si>
    <t>semi-nominal %</t>
  </si>
  <si>
    <t>RAV inflation index</t>
  </si>
  <si>
    <t>integer</t>
  </si>
  <si>
    <t>Nominal RAV inflation</t>
  </si>
  <si>
    <t>Tab</t>
  </si>
  <si>
    <t>Heading 1</t>
  </si>
  <si>
    <t>Heading 2</t>
  </si>
  <si>
    <t>Heading 3</t>
  </si>
  <si>
    <t>Closing RAV (FY end)</t>
  </si>
  <si>
    <t>Target Revenue</t>
  </si>
  <si>
    <t>Forecasting Penalties</t>
  </si>
  <si>
    <t>Profit impact of tax trigger (no deadband)</t>
  </si>
  <si>
    <t>Profit after tax trigger</t>
  </si>
  <si>
    <t>Profit after tax trigger (no deadband)</t>
  </si>
  <si>
    <t>Tax clawback pool (not restricted)</t>
  </si>
  <si>
    <t>Tax clawback brought forward</t>
  </si>
  <si>
    <t>Tax clawback arising in year</t>
  </si>
  <si>
    <t>Tax clawback utilised in year</t>
  </si>
  <si>
    <t>Tax clawback carry forward</t>
  </si>
  <si>
    <t>Profits after tax clawback</t>
  </si>
  <si>
    <t>Restrictions applicable</t>
  </si>
  <si>
    <t>Restricted losses available</t>
  </si>
  <si>
    <t>Profits attributable if no restriction applied</t>
  </si>
  <si>
    <t>Profits after clawback</t>
  </si>
  <si>
    <t>Target Revenue (as published)</t>
  </si>
  <si>
    <t>Allowed Revenue</t>
  </si>
  <si>
    <t>Recovered Revenue (where no data input)</t>
  </si>
  <si>
    <t>Revenue under/over recovery</t>
  </si>
  <si>
    <t>Recovered Revenue forecasting error</t>
  </si>
  <si>
    <t>Allowed Revenue (where no data input)</t>
  </si>
  <si>
    <t>CPIH Forecast (financial year)</t>
  </si>
  <si>
    <t>RIIO-2 final year</t>
  </si>
  <si>
    <t>Combined RPI-CPIH price index (indexation adjustment)</t>
  </si>
  <si>
    <t>Forecast totex used</t>
  </si>
  <si>
    <t>Non-core RAV starting balance</t>
  </si>
  <si>
    <t>RIIO-3 additions (adjusted for indexed portion of capital structure)</t>
  </si>
  <si>
    <t>Notional gearing</t>
  </si>
  <si>
    <t>Threshold 1</t>
  </si>
  <si>
    <t>Threshold 2</t>
  </si>
  <si>
    <t>Adjustment rate 1</t>
  </si>
  <si>
    <t>Adjustment rate 2</t>
  </si>
  <si>
    <t>Sum of NPV-neutral equity RAV values over RIIO-3</t>
  </si>
  <si>
    <t>Operational performance</t>
  </si>
  <si>
    <t>Operational performance over the Price Control Period</t>
  </si>
  <si>
    <t>OPP &gt;= 0</t>
  </si>
  <si>
    <t>Adjustment 1</t>
  </si>
  <si>
    <t>Adjustment 2</t>
  </si>
  <si>
    <t>Return adjustment over the Price Control Period</t>
  </si>
  <si>
    <t>OPP &lt; 0</t>
  </si>
  <si>
    <t>Return adjustment annual profiling percentages</t>
  </si>
  <si>
    <t>Operational performance after return adjustment</t>
  </si>
  <si>
    <t>Outperformance after return adjustment over the Price Control Period</t>
  </si>
  <si>
    <t>T1</t>
  </si>
  <si>
    <t>T2</t>
  </si>
  <si>
    <t>AR1</t>
  </si>
  <si>
    <t>AR2</t>
  </si>
  <si>
    <t>RAV base</t>
  </si>
  <si>
    <t>Return adjustment calculation</t>
  </si>
  <si>
    <t>Postive operational performance</t>
  </si>
  <si>
    <t>Negative operational performance</t>
  </si>
  <si>
    <t>Annual return adjustment calculation</t>
  </si>
  <si>
    <t>Outperformance after return adjustment (FYI only)</t>
  </si>
  <si>
    <t>Return adjustment over the Price Control Period (OPP &gt;= 0)</t>
  </si>
  <si>
    <t>Return adjustment over the Price Control Period (OPP &lt; 0)</t>
  </si>
  <si>
    <t>Error summary</t>
  </si>
  <si>
    <t>Count of formulae on LicenseeInput tabs</t>
  </si>
  <si>
    <t>Count of hardcoded constants on calculation tabs</t>
  </si>
  <si>
    <t>Actual totex match</t>
  </si>
  <si>
    <t>Allowed totex match</t>
  </si>
  <si>
    <t>Worksheet checks</t>
  </si>
  <si>
    <t>Formulas</t>
  </si>
  <si>
    <t>Hardcoded values</t>
  </si>
  <si>
    <t>Calculation errors</t>
  </si>
  <si>
    <t>Lookups</t>
  </si>
  <si>
    <t>Actual totex (from Totex)</t>
  </si>
  <si>
    <t>Actual totex- cap rate 1 (from Transform)</t>
  </si>
  <si>
    <t>Actual totex- cap rate 2 (from Transform)</t>
  </si>
  <si>
    <t>Allowed totex (from Totex)</t>
  </si>
  <si>
    <t>Allowed totex - non-variant (from Transform)</t>
  </si>
  <si>
    <t>Allowed totex - variant (from Transform)</t>
  </si>
  <si>
    <t>Error?</t>
  </si>
  <si>
    <t>Calculations_SO</t>
  </si>
  <si>
    <t>Totex- TO</t>
  </si>
  <si>
    <t>Totex- SO</t>
  </si>
  <si>
    <t>Totex allocation to tax pools- TO</t>
  </si>
  <si>
    <t>Totex allocation to tax pools- SO</t>
  </si>
  <si>
    <t>Count of variant activities matches below- TO</t>
  </si>
  <si>
    <t>Count of variant activities matches below- SO</t>
  </si>
  <si>
    <t>Totex allocation to tax pool check- TO</t>
  </si>
  <si>
    <t>Totex allocation to tax pool check- SO</t>
  </si>
  <si>
    <t>Actual totex match - TO</t>
  </si>
  <si>
    <t>Allowed totex match - TO</t>
  </si>
  <si>
    <t>Actual totex match - SO</t>
  </si>
  <si>
    <t>Allowed totex match - SO</t>
  </si>
  <si>
    <t>Variant activities - TO</t>
  </si>
  <si>
    <t>Variant activities - SO</t>
  </si>
  <si>
    <t>Variant allocation = 100% for all - TO</t>
  </si>
  <si>
    <t>Variant activity without both attributes set - TO</t>
  </si>
  <si>
    <t>Variant allocation = 100% for all - SO</t>
  </si>
  <si>
    <t>Variant activity without both attributes set -SO</t>
  </si>
  <si>
    <t>Post-vesting asset life, straight line</t>
  </si>
  <si>
    <t>Disposals</t>
  </si>
  <si>
    <t>Disposals net sales proceeds</t>
  </si>
  <si>
    <t>Net additions</t>
  </si>
  <si>
    <t>SpC 3.22</t>
  </si>
  <si>
    <t>SpC 5.7</t>
  </si>
  <si>
    <t>SpC 6.2</t>
  </si>
  <si>
    <t>Calculated Base Revenue</t>
  </si>
  <si>
    <t>Base Revenue (as published, from inputs)</t>
  </si>
  <si>
    <t>Base Revenue (where no data input)</t>
  </si>
  <si>
    <t>Base Revenue forecasting error</t>
  </si>
  <si>
    <t>Base Revenue forecasting error ratio</t>
  </si>
  <si>
    <t>Applicable Base Revenue interest rate</t>
  </si>
  <si>
    <t>Base Revenue forecasting penalty</t>
  </si>
  <si>
    <t>Target Revenue (as published, from inputs)</t>
  </si>
  <si>
    <t>Recovered Revenue forecasting error ratio</t>
  </si>
  <si>
    <t>Applicable Allowed Revenue interest rate</t>
  </si>
  <si>
    <t>Recovered Revenue forecasting penalty</t>
  </si>
  <si>
    <t>Calculated Revenue</t>
  </si>
  <si>
    <t>Return adjustment [to be linked at closeout]</t>
  </si>
  <si>
    <t>Less directly remunerated services adjustment</t>
  </si>
  <si>
    <t>Calculated revenue (without DRS adjustment)</t>
  </si>
  <si>
    <t>Variant allowed non-operational capex</t>
  </si>
  <si>
    <t>Variant allowed controllable opex</t>
  </si>
  <si>
    <t>Deflation from semi-nominal to CPIH real RAV</t>
  </si>
  <si>
    <t>Pass-through and other revenue</t>
  </si>
  <si>
    <t>Add calculated revenue (before tax)</t>
  </si>
  <si>
    <t>Less pre-RIIO-1 pension true-up</t>
  </si>
  <si>
    <t>Less SO net interest expense (excluding principal inflation accretion)</t>
  </si>
  <si>
    <t>Less SO net interest expense (principal inflation accretion)</t>
  </si>
  <si>
    <t>Less revenue pool additions</t>
  </si>
  <si>
    <t>Less capital allowances</t>
  </si>
  <si>
    <t>Less net interest expense (excluding principal inflation accretion)</t>
  </si>
  <si>
    <t>Less principal inflation accretion on CPIH index-linked debt</t>
  </si>
  <si>
    <t>Less revenue tax pool additions</t>
  </si>
  <si>
    <t>Deadband value</t>
  </si>
  <si>
    <t>Add TO calculated revenue (before tax)</t>
  </si>
  <si>
    <t>Add SO calculated revenue (before tax)</t>
  </si>
  <si>
    <t>Less TO actual totex</t>
  </si>
  <si>
    <t>Less SO actual totex</t>
  </si>
  <si>
    <t>Less TO pass-through expenditure</t>
  </si>
  <si>
    <t>Less SO pass-through expenditure</t>
  </si>
  <si>
    <t>Less TO other revenue allowance costs</t>
  </si>
  <si>
    <t>Less SO other revenue allowance costs</t>
  </si>
  <si>
    <t>Less notional dividends</t>
  </si>
  <si>
    <t>Less constant gearing dividends</t>
  </si>
  <si>
    <t>Add equity issuance</t>
  </si>
  <si>
    <t>Add TO tax allowance (including adjustment)</t>
  </si>
  <si>
    <t>Add SO tax allowance (including adjustment)</t>
  </si>
  <si>
    <t>Less TO tax paid (including cash flow on revenue without a tax allowance)</t>
  </si>
  <si>
    <t>Less SO tax paid (including cash flow on revenue without a tax allowance)</t>
  </si>
  <si>
    <t>Pre-vesting depreciation</t>
  </si>
  <si>
    <t>Last year of differential depreciation recovery</t>
  </si>
  <si>
    <t>Sum of digits depreciation</t>
  </si>
  <si>
    <t>Actual load related capex - cap rate 1</t>
  </si>
  <si>
    <t>Actual asset replacement capex - cap rate 1</t>
  </si>
  <si>
    <t>Actual other capex - cap rate 1</t>
  </si>
  <si>
    <t>Actual non-operational capex - cap rate 1</t>
  </si>
  <si>
    <t>Actual non-load (opex) - cap rate 1</t>
  </si>
  <si>
    <t>Actual indirects (opex) - cap rate 1</t>
  </si>
  <si>
    <t>Actual load related capex - cap rate 2</t>
  </si>
  <si>
    <t>Actual asset replacement capex - cap rate 2</t>
  </si>
  <si>
    <t>Actual other capex - cap rate 2</t>
  </si>
  <si>
    <t>Actual non-operational capex - cap rate 2</t>
  </si>
  <si>
    <t>Actual non-load (opex) - cap rate 2</t>
  </si>
  <si>
    <t>Allowed load related capex - cap rate 1</t>
  </si>
  <si>
    <t>Allowed asset replacement capex - cap rate 1</t>
  </si>
  <si>
    <t>Allowed other capex - cap rate 1</t>
  </si>
  <si>
    <t>Allowed non-operational capex - cap rate 1</t>
  </si>
  <si>
    <t>Allowed non-load (opex) - cap rate 1</t>
  </si>
  <si>
    <t>Allowed indirects (opex) - cap rate 1</t>
  </si>
  <si>
    <t>Allowed load related capex - cap rate 2</t>
  </si>
  <si>
    <t>Allowed asset replacement capex - cap rate 2</t>
  </si>
  <si>
    <t>Allowed other capex - cap rate 2</t>
  </si>
  <si>
    <t>Allowed non-operational capex - cap rate 2</t>
  </si>
  <si>
    <t>Allowed non-load (opex) - cap rate 2</t>
  </si>
  <si>
    <t>Allowed indirects (opex) - cap rate 2</t>
  </si>
  <si>
    <t>Total over(under)spend - cap rate 1</t>
  </si>
  <si>
    <t>Total over(under)spend - cap rate 2</t>
  </si>
  <si>
    <t>Variant allowed load related capex - cap rate 1</t>
  </si>
  <si>
    <t>Variant allowed asset replacement capex - cap rate 1</t>
  </si>
  <si>
    <t>Variant allowed other capex - cap rate 1</t>
  </si>
  <si>
    <t>Variant allowed non-operational capex - cap rate 1</t>
  </si>
  <si>
    <t>Variant allowed non-load (opex) - cap rate 1</t>
  </si>
  <si>
    <t>Variant allowed indirects (opex) - cap rate 1</t>
  </si>
  <si>
    <t>Variant allowed load related capex - cap rate 2</t>
  </si>
  <si>
    <t>Variant allowed asset replacement capex - cap rate 2</t>
  </si>
  <si>
    <t>Variant allowed other capex - cap rate 2</t>
  </si>
  <si>
    <t>Variant allowed non-operational capex - cap rate 2</t>
  </si>
  <si>
    <t>Variant allowed non-load (opex) - cap rate 2</t>
  </si>
  <si>
    <t>Variant allowed indirects (opex) - cap rate 2</t>
  </si>
  <si>
    <t>Actual indirects (opex) - cap rate 2</t>
  </si>
  <si>
    <t>CPIH index-linked cost of debt</t>
  </si>
  <si>
    <t>Inflation-linked debt portion</t>
  </si>
  <si>
    <t>Special rate pool opening balance adjustment</t>
  </si>
  <si>
    <t>Special rate capital allowance opening balance brought forward</t>
  </si>
  <si>
    <t>Structures and buildings capital allowance opening balance brought forward</t>
  </si>
  <si>
    <t>Deferred revenue opening balance brought forward</t>
  </si>
  <si>
    <t>Special rate pool full expensing allowance rate</t>
  </si>
  <si>
    <t>Special rate pool additions qualifying for full expensing allowance</t>
  </si>
  <si>
    <t>Structures and buildings capital allowance rate</t>
  </si>
  <si>
    <t>Deferred revenue capital allowance rate</t>
  </si>
  <si>
    <t>Dividends as % of notional equity RAV</t>
  </si>
  <si>
    <t>Special rate additions qualifying for full expensing allowance</t>
  </si>
  <si>
    <t>Special rate capital allowance rate</t>
  </si>
  <si>
    <t>Non-variant allowed load related capex - cap rate 1</t>
  </si>
  <si>
    <t>Non-variant allowed asset replacement capex - cap rate 1</t>
  </si>
  <si>
    <t>Non-variant allowed other capex - cap rate 1</t>
  </si>
  <si>
    <t>Non-variant allowed non-operational capex - cap rate 1</t>
  </si>
  <si>
    <t>Non-variant allowed non-load (opex) - cap rate 1</t>
  </si>
  <si>
    <t>Non-variant allowed indirects (opex) - cap rate 1</t>
  </si>
  <si>
    <t>Revenue reprofiling adjustments</t>
  </si>
  <si>
    <t>Revenue profiling</t>
  </si>
  <si>
    <t>Revenue profiling input years</t>
  </si>
  <si>
    <t>Calculated revenue profiling year</t>
  </si>
  <si>
    <t>Opening balance for profiling adjustment TVOM</t>
  </si>
  <si>
    <t>TVOM uplift on previous period</t>
  </si>
  <si>
    <t>Profiling adjustment</t>
  </si>
  <si>
    <t>Calculated profiling adjustment</t>
  </si>
  <si>
    <t>Closing balance for profiling adjustment TVOM</t>
  </si>
  <si>
    <t>Profiling adjustment for revenue</t>
  </si>
  <si>
    <t>Allowed revenue true-up</t>
  </si>
  <si>
    <t>Finance and tax</t>
  </si>
  <si>
    <t>Tax trigger</t>
  </si>
  <si>
    <t>Variable policy</t>
  </si>
  <si>
    <t>Fixed policy</t>
  </si>
  <si>
    <t>Assumed cost multipliers</t>
  </si>
  <si>
    <t>Version</t>
  </si>
  <si>
    <t>Front</t>
  </si>
  <si>
    <t>Checks</t>
  </si>
  <si>
    <t>Master error check and details</t>
  </si>
  <si>
    <t>Transformation</t>
  </si>
  <si>
    <t>Regulatory depreciation</t>
  </si>
  <si>
    <t>Non-Core RAV calculations</t>
  </si>
  <si>
    <t>RAV and return calculations</t>
  </si>
  <si>
    <t>Tax allowance and tax paid</t>
  </si>
  <si>
    <t>ReturnAdj</t>
  </si>
  <si>
    <t>Calculating return adjustment to be linked at closeout</t>
  </si>
  <si>
    <t>Data</t>
  </si>
  <si>
    <t>Inputs</t>
  </si>
  <si>
    <t>Inputs for Transmission Operator</t>
  </si>
  <si>
    <t>Inputs for System Operator</t>
  </si>
  <si>
    <t>Arrangement of SO inputs for model use</t>
  </si>
  <si>
    <t>Arrangement of TO inputs for model use</t>
  </si>
  <si>
    <t>Summarisation of TO and SO variant allowances</t>
  </si>
  <si>
    <t>Calculations for SO replicating TO calculation tabs</t>
  </si>
  <si>
    <t>Derivation of SO allowed revenue</t>
  </si>
  <si>
    <t>Derivation of TO allowed revenue</t>
  </si>
  <si>
    <t>SpC 5.1</t>
  </si>
  <si>
    <t>DEPt</t>
  </si>
  <si>
    <t>SpC 6.4</t>
  </si>
  <si>
    <t>Green house gas compressor emissions incentive</t>
  </si>
  <si>
    <t>SpC 5.8</t>
  </si>
  <si>
    <t>Shrinkage Procurement incentive</t>
  </si>
  <si>
    <t>SpC 5.5</t>
  </si>
  <si>
    <t>SpC 5.6</t>
  </si>
  <si>
    <t>Pre-RIIO pension true-up</t>
  </si>
  <si>
    <t>SpC 5.4</t>
  </si>
  <si>
    <t>TO net interest expense (excluding principal inflation accretion)</t>
  </si>
  <si>
    <t>TO net interest expense (principal inflation accretion)</t>
  </si>
  <si>
    <t>logical</t>
  </si>
  <si>
    <t>Pension deficit charge</t>
  </si>
  <si>
    <t>Gas conveyed to Independent Systems
(SIU)</t>
  </si>
  <si>
    <t>Customer satisfaction incentive</t>
  </si>
  <si>
    <t>Pre-RIIO pension true up</t>
  </si>
  <si>
    <t>Legacy K Correction</t>
  </si>
  <si>
    <t>Revenue profiling adjustment</t>
  </si>
  <si>
    <t>SpC 7.2</t>
  </si>
  <si>
    <t>SpC 7.3</t>
  </si>
  <si>
    <t>SpC 7.4</t>
  </si>
  <si>
    <t>SpC 9.7</t>
  </si>
  <si>
    <t>SpC 2.1</t>
  </si>
  <si>
    <t>CDSP Costs, excluding costs incurred in relation to UK Link Gemini</t>
  </si>
  <si>
    <t>ISOP’s gas revenue provision</t>
  </si>
  <si>
    <t>System costs</t>
  </si>
  <si>
    <t>System Operator legacy K correction</t>
  </si>
  <si>
    <t>Incentives for Return Adjustment</t>
  </si>
  <si>
    <t>Totex outperformance (operator share) - TO</t>
  </si>
  <si>
    <t>Totex outperformance (operator share) - SO</t>
  </si>
  <si>
    <t>Equity portion of NPV-neutral RAV - TO and SO</t>
  </si>
  <si>
    <t>Incentives - SO</t>
  </si>
  <si>
    <t>Output delivery incentives - TO</t>
  </si>
  <si>
    <t>Legacy net RAV additions (after disposals)</t>
  </si>
  <si>
    <t>Deferred revenue pool additions (RIIO2) plus opening balance at start of RIIO2</t>
  </si>
  <si>
    <t>Structures and buildings pool additions (RIIO2) plus opening balance at start of RIIO2</t>
  </si>
  <si>
    <t>OPP</t>
  </si>
  <si>
    <t>RTNR</t>
  </si>
  <si>
    <t>Publication date</t>
  </si>
  <si>
    <t>NPV-neutral RAV return base - TO and SO</t>
  </si>
  <si>
    <t>Variant allowance summary (including RPEs)</t>
  </si>
  <si>
    <t>Calculated revenue excl equity issuance costs, tax allowance, revenue profiling</t>
  </si>
  <si>
    <t>Capital allowance rates</t>
  </si>
  <si>
    <t>SO environmental incentives</t>
  </si>
  <si>
    <t>Legacy AIP Adjustment Term</t>
  </si>
  <si>
    <t>Legacy K correction</t>
  </si>
  <si>
    <r>
      <t>ADJ</t>
    </r>
    <r>
      <rPr>
        <vertAlign val="subscript"/>
        <sz val="11"/>
        <rFont val="Aptos Narrow"/>
        <family val="2"/>
        <scheme val="minor"/>
      </rPr>
      <t>26/27</t>
    </r>
  </si>
  <si>
    <r>
      <t>K</t>
    </r>
    <r>
      <rPr>
        <vertAlign val="subscript"/>
        <sz val="11"/>
        <rFont val="Aptos Narrow"/>
        <family val="2"/>
        <scheme val="minor"/>
      </rPr>
      <t>26/27</t>
    </r>
  </si>
  <si>
    <t>Legacy adjustments to revenue</t>
  </si>
  <si>
    <t>SO legacy AIP adjustment term</t>
  </si>
  <si>
    <t>SO legacy K correction</t>
  </si>
  <si>
    <t>SO legacy adjustments</t>
  </si>
  <si>
    <r>
      <t>SOLADJ</t>
    </r>
    <r>
      <rPr>
        <vertAlign val="subscript"/>
        <sz val="11"/>
        <rFont val="Aptos Narrow"/>
        <family val="2"/>
        <scheme val="minor"/>
      </rPr>
      <t>26/27</t>
    </r>
  </si>
  <si>
    <r>
      <t>SOLK</t>
    </r>
    <r>
      <rPr>
        <vertAlign val="subscript"/>
        <sz val="11"/>
        <color theme="1"/>
        <rFont val="Aptos Narrow"/>
        <family val="2"/>
        <scheme val="minor"/>
      </rPr>
      <t>26/27</t>
    </r>
  </si>
  <si>
    <r>
      <t>SOLADJ</t>
    </r>
    <r>
      <rPr>
        <vertAlign val="subscript"/>
        <sz val="11"/>
        <color theme="1"/>
        <rFont val="Aptos Narrow"/>
        <family val="2"/>
        <scheme val="minor"/>
      </rPr>
      <t>26/27</t>
    </r>
  </si>
  <si>
    <t xml:space="preserve">CPIH index </t>
  </si>
  <si>
    <t>PCD</t>
  </si>
  <si>
    <t>UM</t>
  </si>
  <si>
    <t>£m 26/27 prices</t>
  </si>
  <si>
    <t>Baseline Network Risk Output</t>
  </si>
  <si>
    <t>Cyber resilience term Price Control Deliverable</t>
  </si>
  <si>
    <t>Cyber resilience Re-Opener</t>
  </si>
  <si>
    <t>Cyber Use it or lose it allowance</t>
  </si>
  <si>
    <t>Resilience Activity Re-opener</t>
  </si>
  <si>
    <t>Physical Security Price Control Deliverable</t>
  </si>
  <si>
    <t>Physical Security Price Control Deliverable - Re-Opener Element</t>
  </si>
  <si>
    <t>Small Decarbonisation Projects Re-opener</t>
  </si>
  <si>
    <t>Decarbonisation Project Development Fund UIOLI</t>
  </si>
  <si>
    <t>Decarbonisation and Environmental Policy Re-Opener</t>
  </si>
  <si>
    <t>Digitalisation Re-opener</t>
  </si>
  <si>
    <t>Coordinated Adjustment Mechanism Re-opener</t>
  </si>
  <si>
    <t>Compressor Emissions Price Control Deliverable</t>
  </si>
  <si>
    <t>Funded Incremental Obligated Capacity Price Control Deliverable</t>
  </si>
  <si>
    <t>Funded Incremental Obligated Capacity Price Control Deliverable - Re-Opener Element</t>
  </si>
  <si>
    <t>Asset health Re-Opener</t>
  </si>
  <si>
    <t>Redundant assets Price Control Deliverable</t>
  </si>
  <si>
    <t>Biomethane Connections use it or lose it allowance</t>
  </si>
  <si>
    <t>Compressor Breakdown Use it or lose it allowance</t>
  </si>
  <si>
    <t>Nitrogen Sleeves Price Control Deliverable</t>
  </si>
  <si>
    <t>West Import Resilience Project Price Control Deliverable</t>
  </si>
  <si>
    <t>West Import Resilience Project Re-opener</t>
  </si>
  <si>
    <t>Gas strategic planning re-opener</t>
  </si>
  <si>
    <t>Office and Gas National Control Centre and Emergency Control Room Relocation Re-opener</t>
  </si>
  <si>
    <t>Network capability re-opener</t>
  </si>
  <si>
    <t>Bacton Enhanced Filtration re-opener</t>
  </si>
  <si>
    <t>Network decarbonisation and emissions compliance Re-opener</t>
  </si>
  <si>
    <t>Compressor acoustic building replacement Price Control Deliverable</t>
  </si>
  <si>
    <t>Easement Reinstatement Price Control Deliverable</t>
  </si>
  <si>
    <t>Removal and remediation of pipe stabbings Price Control Deliverable</t>
  </si>
  <si>
    <t>Actuator replacement Price Control Deliverable</t>
  </si>
  <si>
    <t>GT2/GT3 Crossover Adjustment</t>
  </si>
  <si>
    <t>SpC 3.19</t>
  </si>
  <si>
    <t>SpC 3.20</t>
  </si>
  <si>
    <t>SpC 3.21</t>
  </si>
  <si>
    <t>SpC 3.23</t>
  </si>
  <si>
    <t>SpC 3.24</t>
  </si>
  <si>
    <t>SpC 3.25</t>
  </si>
  <si>
    <t>SpC 3.26</t>
  </si>
  <si>
    <t>SpC 3.27</t>
  </si>
  <si>
    <t>SpC 3.28</t>
  </si>
  <si>
    <t>CYt</t>
  </si>
  <si>
    <t>CYREt</t>
  </si>
  <si>
    <t>CYUt</t>
  </si>
  <si>
    <t>DIGIt</t>
  </si>
  <si>
    <t>GNCCREt</t>
  </si>
  <si>
    <t>NDCREt</t>
  </si>
  <si>
    <t>Decarbonisation and Environmental Policy Re-opener</t>
  </si>
  <si>
    <t>Funded Incremental Obligated Capacity Price Control Deliverable -Re-Opener Element</t>
  </si>
  <si>
    <t xml:space="preserve">Office, gas national control centre and emergency control room relocation Re-opener </t>
  </si>
  <si>
    <t>SpC
3.2</t>
  </si>
  <si>
    <t>SpC 7.6</t>
  </si>
  <si>
    <t>SpC 7.7</t>
  </si>
  <si>
    <t>SpC 7.8</t>
  </si>
  <si>
    <t>SpC 2.4</t>
  </si>
  <si>
    <t>SpC 2.5</t>
  </si>
  <si>
    <t>SpC 7.1</t>
  </si>
  <si>
    <t>SpC 7.5</t>
  </si>
  <si>
    <r>
      <t>NARM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</si>
  <si>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NARMAH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</si>
  <si>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CY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</si>
  <si>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CYRE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</si>
  <si>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CYU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</si>
  <si>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PSUP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</si>
  <si>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PSUPRE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</si>
  <si>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SPD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</si>
  <si>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DPD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</si>
  <si>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DEP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</si>
  <si>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DIGI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</si>
  <si>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CAM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</si>
  <si>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BTR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</si>
  <si>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CEP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</si>
  <si>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FIOC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</si>
  <si>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FIOCRE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</si>
  <si>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AH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</si>
  <si>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RA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</si>
  <si>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QL</t>
    </r>
    <r>
      <rPr>
        <vertAlign val="sub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and PD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</si>
  <si>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BIOC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</si>
  <si>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CBD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</si>
  <si>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RNS</t>
    </r>
    <r>
      <rPr>
        <vertAlign val="sub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and GNS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</si>
  <si>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WIRP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</si>
  <si>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WIRPO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</si>
  <si>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GSPR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</si>
  <si>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GNCCRE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</si>
  <si>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NC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</si>
  <si>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BEF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</si>
  <si>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NDCRE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</si>
  <si>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CAB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</si>
  <si>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ER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</si>
  <si>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RRPS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</si>
  <si>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ARE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</si>
  <si>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GT2ACA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</si>
  <si>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LRAV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</si>
  <si>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FYCPIH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</si>
  <si>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LTCPIH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</si>
  <si>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RPA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</si>
  <si>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RR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</si>
  <si>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BR</t>
    </r>
    <r>
      <rPr>
        <vertAlign val="superscript"/>
        <sz val="11"/>
        <color theme="1"/>
        <rFont val="Aptos Narrow"/>
        <family val="2"/>
        <scheme val="minor"/>
      </rPr>
      <t>*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</si>
  <si>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TR</t>
    </r>
    <r>
      <rPr>
        <vertAlign val="superscript"/>
        <sz val="11"/>
        <color theme="1"/>
        <rFont val="Aptos Narrow"/>
        <family val="2"/>
        <scheme val="minor"/>
      </rPr>
      <t>*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</si>
  <si>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SORR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</si>
  <si>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SOBR</t>
    </r>
    <r>
      <rPr>
        <vertAlign val="superscript"/>
        <sz val="11"/>
        <color theme="1"/>
        <rFont val="Aptos Narrow"/>
        <family val="2"/>
        <scheme val="minor"/>
      </rPr>
      <t>*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</si>
  <si>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SOTR</t>
    </r>
    <r>
      <rPr>
        <vertAlign val="superscript"/>
        <sz val="11"/>
        <color theme="1"/>
        <rFont val="Aptos Narrow"/>
        <family val="2"/>
        <scheme val="minor"/>
      </rPr>
      <t>*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</si>
  <si>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SOLRAV</t>
    </r>
    <r>
      <rPr>
        <vertAlign val="subscript"/>
        <sz val="11"/>
        <rFont val="Aptos Narrow"/>
        <family val="2"/>
        <scheme val="minor"/>
      </rPr>
      <t>t</t>
    </r>
  </si>
  <si>
    <r>
      <t>SORPE</t>
    </r>
    <r>
      <rPr>
        <vertAlign val="subscript"/>
        <sz val="11"/>
        <rFont val="Aptos Narrow"/>
        <family val="2"/>
        <scheme val="minor"/>
      </rPr>
      <t>t</t>
    </r>
  </si>
  <si>
    <r>
      <t>SOBRFPA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</si>
  <si>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SORRFPA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</si>
  <si>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PT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</si>
  <si>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ORA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</si>
  <si>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NomWACC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</si>
  <si>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ODI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</si>
  <si>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LAR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</si>
  <si>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SOPT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</si>
  <si>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SOORA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</si>
  <si>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SOLADJ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</si>
  <si>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SOLK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</si>
  <si>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SOLAR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</si>
  <si>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RAVL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</si>
  <si>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RTNA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</si>
  <si>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FM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</si>
  <si>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DPN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</si>
  <si>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RTN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</si>
  <si>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EIC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</si>
  <si>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DRS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</si>
  <si>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BPI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</si>
  <si>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TAX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</si>
  <si>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TAXA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</si>
  <si>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R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</si>
  <si>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SOFM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</si>
  <si>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SODPN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</si>
  <si>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SORTN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</si>
  <si>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SOTAX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</si>
  <si>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SOTAXA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</si>
  <si>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SOR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</si>
  <si>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AR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</si>
  <si>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K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</si>
  <si>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BR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</si>
  <si>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BRFP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</si>
  <si>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RRFP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</si>
  <si>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FP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</si>
  <si>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R</t>
    </r>
    <r>
      <rPr>
        <vertAlign val="superscript"/>
        <sz val="11"/>
        <color theme="1"/>
        <rFont val="Aptos Narrow"/>
        <family val="2"/>
        <scheme val="minor"/>
      </rPr>
      <t>*</t>
    </r>
    <r>
      <rPr>
        <vertAlign val="sub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x  PI</t>
    </r>
    <r>
      <rPr>
        <vertAlign val="superscript"/>
        <sz val="11"/>
        <color theme="1"/>
        <rFont val="Aptos Narrow"/>
        <family val="2"/>
        <scheme val="minor"/>
      </rPr>
      <t>*</t>
    </r>
    <r>
      <rPr>
        <vertAlign val="sub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/ PI</t>
    </r>
    <r>
      <rPr>
        <vertAlign val="subscript"/>
        <sz val="11"/>
        <color theme="1"/>
        <rFont val="Aptos Narrow"/>
        <family val="2"/>
        <scheme val="minor"/>
      </rPr>
      <t>2023/24</t>
    </r>
  </si>
  <si>
    <r>
      <t>SOAR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</si>
  <si>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SOK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</si>
  <si>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SOBR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</si>
  <si>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SOBRFP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</si>
  <si>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SOTR</t>
    </r>
    <r>
      <rPr>
        <b/>
        <vertAlign val="superscript"/>
        <sz val="11"/>
        <color theme="1"/>
        <rFont val="Aptos Narrow"/>
        <family val="2"/>
        <scheme val="minor"/>
      </rPr>
      <t>*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</si>
  <si>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SORRFP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</si>
  <si>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SOFP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</si>
  <si>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SOR</t>
    </r>
    <r>
      <rPr>
        <b/>
        <vertAlign val="superscript"/>
        <sz val="11"/>
        <color theme="1"/>
        <rFont val="Aptos Narrow"/>
        <family val="2"/>
        <scheme val="minor"/>
      </rPr>
      <t>*</t>
    </r>
    <r>
      <rPr>
        <vertAlign val="sub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x  PI</t>
    </r>
    <r>
      <rPr>
        <vertAlign val="superscript"/>
        <sz val="11"/>
        <color theme="1"/>
        <rFont val="Aptos Narrow"/>
        <family val="2"/>
        <scheme val="minor"/>
      </rPr>
      <t>*</t>
    </r>
    <r>
      <rPr>
        <vertAlign val="sub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/ PI</t>
    </r>
    <r>
      <rPr>
        <vertAlign val="subscript"/>
        <sz val="11"/>
        <color theme="1"/>
        <rFont val="Aptos Narrow"/>
        <family val="2"/>
        <scheme val="minor"/>
      </rPr>
      <t>2023/24</t>
    </r>
  </si>
  <si>
    <r>
      <t>Outturn index (CPIH</t>
    </r>
    <r>
      <rPr>
        <b/>
        <vertAlign val="subscript"/>
        <sz val="11"/>
        <color theme="3"/>
        <rFont val="Aptos Narrow"/>
        <family val="2"/>
        <scheme val="minor"/>
      </rPr>
      <t>m</t>
    </r>
    <r>
      <rPr>
        <b/>
        <sz val="11"/>
        <color theme="3"/>
        <rFont val="Aptos Narrow"/>
        <family val="2"/>
        <scheme val="minor"/>
      </rPr>
      <t>)</t>
    </r>
  </si>
  <si>
    <r>
      <t>Forecast % (FYCPIHF</t>
    </r>
    <r>
      <rPr>
        <b/>
        <vertAlign val="subscript"/>
        <sz val="11"/>
        <color theme="3"/>
        <rFont val="Aptos Narrow"/>
        <family val="2"/>
        <scheme val="minor"/>
      </rPr>
      <t>m</t>
    </r>
    <r>
      <rPr>
        <b/>
        <sz val="11"/>
        <color theme="3"/>
        <rFont val="Aptos Narrow"/>
        <family val="2"/>
        <scheme val="minor"/>
      </rPr>
      <t>)</t>
    </r>
  </si>
  <si>
    <r>
      <t>Price index (PI</t>
    </r>
    <r>
      <rPr>
        <b/>
        <vertAlign val="subscript"/>
        <sz val="11"/>
        <color theme="3"/>
        <rFont val="Aptos Narrow"/>
        <family val="2"/>
        <scheme val="minor"/>
      </rPr>
      <t>m</t>
    </r>
    <r>
      <rPr>
        <b/>
        <sz val="11"/>
        <color theme="3"/>
        <rFont val="Aptos Narrow"/>
        <family val="2"/>
        <scheme val="minor"/>
      </rPr>
      <t>)</t>
    </r>
  </si>
  <si>
    <t>Actual load related capex expenditure</t>
  </si>
  <si>
    <t>Actual asset replacement capex expenditure</t>
  </si>
  <si>
    <t xml:space="preserve">Actual other capex expenditure </t>
  </si>
  <si>
    <t xml:space="preserve">Actual non-operational capex </t>
  </si>
  <si>
    <t xml:space="preserve">Actual non-load (opex) </t>
  </si>
  <si>
    <t xml:space="preserve">Actual indirects (opex) </t>
  </si>
  <si>
    <r>
      <t>ALC</t>
    </r>
    <r>
      <rPr>
        <vertAlign val="subscript"/>
        <sz val="11"/>
        <rFont val="Aptos Narrow"/>
        <family val="2"/>
        <scheme val="minor"/>
      </rPr>
      <t>t</t>
    </r>
  </si>
  <si>
    <r>
      <t>ARC</t>
    </r>
    <r>
      <rPr>
        <vertAlign val="subscript"/>
        <sz val="11"/>
        <rFont val="Aptos Narrow"/>
        <family val="2"/>
        <scheme val="minor"/>
      </rPr>
      <t>t</t>
    </r>
  </si>
  <si>
    <r>
      <t>AOC</t>
    </r>
    <r>
      <rPr>
        <vertAlign val="subscript"/>
        <sz val="11"/>
        <rFont val="Aptos Narrow"/>
        <family val="2"/>
        <scheme val="minor"/>
      </rPr>
      <t>t</t>
    </r>
  </si>
  <si>
    <r>
      <t>ANC</t>
    </r>
    <r>
      <rPr>
        <vertAlign val="subscript"/>
        <sz val="11"/>
        <rFont val="Aptos Narrow"/>
        <family val="2"/>
        <scheme val="minor"/>
      </rPr>
      <t>t</t>
    </r>
  </si>
  <si>
    <r>
      <t>ACO</t>
    </r>
    <r>
      <rPr>
        <vertAlign val="subscript"/>
        <sz val="11"/>
        <rFont val="Aptos Narrow"/>
        <family val="2"/>
        <scheme val="minor"/>
      </rPr>
      <t>t</t>
    </r>
  </si>
  <si>
    <r>
      <t>AIO</t>
    </r>
    <r>
      <rPr>
        <vertAlign val="subscript"/>
        <sz val="11"/>
        <rFont val="Aptos Narrow"/>
        <family val="2"/>
        <scheme val="minor"/>
      </rPr>
      <t>t</t>
    </r>
  </si>
  <si>
    <r>
      <t>ALCU</t>
    </r>
    <r>
      <rPr>
        <vertAlign val="subscript"/>
        <sz val="11"/>
        <rFont val="Aptos Narrow"/>
        <family val="2"/>
        <scheme val="minor"/>
      </rPr>
      <t>t</t>
    </r>
  </si>
  <si>
    <r>
      <t>ARCU</t>
    </r>
    <r>
      <rPr>
        <vertAlign val="subscript"/>
        <sz val="11"/>
        <rFont val="Aptos Narrow"/>
        <family val="2"/>
        <scheme val="minor"/>
      </rPr>
      <t>t</t>
    </r>
  </si>
  <si>
    <r>
      <t>AOCU</t>
    </r>
    <r>
      <rPr>
        <vertAlign val="subscript"/>
        <sz val="11"/>
        <rFont val="Aptos Narrow"/>
        <family val="2"/>
        <scheme val="minor"/>
      </rPr>
      <t>t</t>
    </r>
  </si>
  <si>
    <r>
      <t>ANCU</t>
    </r>
    <r>
      <rPr>
        <vertAlign val="subscript"/>
        <sz val="11"/>
        <rFont val="Aptos Narrow"/>
        <family val="2"/>
        <scheme val="minor"/>
      </rPr>
      <t>t</t>
    </r>
  </si>
  <si>
    <r>
      <t>ACOU</t>
    </r>
    <r>
      <rPr>
        <vertAlign val="subscript"/>
        <sz val="11"/>
        <rFont val="Aptos Narrow"/>
        <family val="2"/>
        <scheme val="minor"/>
      </rPr>
      <t>t</t>
    </r>
  </si>
  <si>
    <r>
      <t>AIOU</t>
    </r>
    <r>
      <rPr>
        <vertAlign val="subscript"/>
        <sz val="11"/>
        <rFont val="Aptos Narrow"/>
        <family val="2"/>
        <scheme val="minor"/>
      </rPr>
      <t>t</t>
    </r>
  </si>
  <si>
    <r>
      <t>RB</t>
    </r>
    <r>
      <rPr>
        <vertAlign val="subscript"/>
        <sz val="11"/>
        <rFont val="Aptos Narrow"/>
        <family val="2"/>
        <scheme val="minor"/>
      </rPr>
      <t>t</t>
    </r>
  </si>
  <si>
    <r>
      <t>LF</t>
    </r>
    <r>
      <rPr>
        <vertAlign val="subscript"/>
        <sz val="11"/>
        <rFont val="Aptos Narrow"/>
        <family val="2"/>
        <scheme val="minor"/>
      </rPr>
      <t>t</t>
    </r>
  </si>
  <si>
    <r>
      <t>EDE</t>
    </r>
    <r>
      <rPr>
        <vertAlign val="subscript"/>
        <sz val="11"/>
        <rFont val="Aptos Narrow"/>
        <family val="2"/>
        <scheme val="minor"/>
      </rPr>
      <t>t</t>
    </r>
  </si>
  <si>
    <r>
      <t>OPTC</t>
    </r>
    <r>
      <rPr>
        <vertAlign val="subscript"/>
        <sz val="11"/>
        <rFont val="Aptos Narrow"/>
        <family val="2"/>
        <scheme val="minor"/>
      </rPr>
      <t>t</t>
    </r>
  </si>
  <si>
    <r>
      <t>IS</t>
    </r>
    <r>
      <rPr>
        <vertAlign val="subscript"/>
        <sz val="11"/>
        <rFont val="Aptos Narrow"/>
        <family val="2"/>
        <scheme val="minor"/>
      </rPr>
      <t>t</t>
    </r>
  </si>
  <si>
    <r>
      <t>PTV</t>
    </r>
    <r>
      <rPr>
        <vertAlign val="subscript"/>
        <sz val="11"/>
        <rFont val="Aptos Narrow"/>
        <family val="2"/>
        <scheme val="minor"/>
      </rPr>
      <t>t</t>
    </r>
  </si>
  <si>
    <r>
      <t>Hy</t>
    </r>
    <r>
      <rPr>
        <vertAlign val="subscript"/>
        <sz val="11"/>
        <rFont val="Aptos Narrow"/>
        <family val="2"/>
        <scheme val="minor"/>
      </rPr>
      <t>t</t>
    </r>
  </si>
  <si>
    <r>
      <t>NZPS</t>
    </r>
    <r>
      <rPr>
        <vertAlign val="subscript"/>
        <sz val="11"/>
        <rFont val="Aptos Narrow"/>
        <family val="2"/>
        <scheme val="minor"/>
      </rPr>
      <t>t</t>
    </r>
  </si>
  <si>
    <r>
      <t>PT</t>
    </r>
    <r>
      <rPr>
        <vertAlign val="subscript"/>
        <sz val="11"/>
        <rFont val="Aptos Narrow"/>
        <family val="2"/>
        <scheme val="minor"/>
      </rPr>
      <t>t</t>
    </r>
  </si>
  <si>
    <t>Distribution Networks’ and NTS’ Small Decarbonisation Projects Re-opener Projects Re-opener</t>
  </si>
  <si>
    <r>
      <t>CSI</t>
    </r>
    <r>
      <rPr>
        <vertAlign val="subscript"/>
        <sz val="11"/>
        <rFont val="Aptos Narrow"/>
        <family val="2"/>
        <scheme val="minor"/>
      </rPr>
      <t>t</t>
    </r>
  </si>
  <si>
    <t xml:space="preserve">Carry-over RIIO-2 Network Innovation Allowance </t>
  </si>
  <si>
    <t>Spare 1</t>
  </si>
  <si>
    <r>
      <t>NIA</t>
    </r>
    <r>
      <rPr>
        <vertAlign val="subscript"/>
        <sz val="11"/>
        <rFont val="Aptos Narrow"/>
        <family val="2"/>
        <scheme val="minor"/>
      </rPr>
      <t>t</t>
    </r>
  </si>
  <si>
    <r>
      <t>CNIA</t>
    </r>
    <r>
      <rPr>
        <vertAlign val="subscript"/>
        <sz val="11"/>
        <rFont val="Aptos Narrow"/>
        <family val="2"/>
        <scheme val="minor"/>
      </rPr>
      <t>t</t>
    </r>
  </si>
  <si>
    <r>
      <t>PRPN</t>
    </r>
    <r>
      <rPr>
        <vertAlign val="subscript"/>
        <sz val="11"/>
        <rFont val="Aptos Narrow"/>
        <family val="2"/>
        <scheme val="minor"/>
      </rPr>
      <t>t</t>
    </r>
  </si>
  <si>
    <r>
      <t>ORA</t>
    </r>
    <r>
      <rPr>
        <vertAlign val="subscript"/>
        <sz val="11"/>
        <rFont val="Aptos Narrow"/>
        <family val="2"/>
        <scheme val="minor"/>
      </rPr>
      <t>t</t>
    </r>
  </si>
  <si>
    <r>
      <t>OGP</t>
    </r>
    <r>
      <rPr>
        <vertAlign val="subscript"/>
        <sz val="11"/>
        <rFont val="Aptos Narrow"/>
        <family val="2"/>
        <scheme val="minor"/>
      </rPr>
      <t>t</t>
    </r>
  </si>
  <si>
    <r>
      <t>OGPA</t>
    </r>
    <r>
      <rPr>
        <vertAlign val="subscript"/>
        <sz val="11"/>
        <rFont val="Aptos Narrow"/>
        <family val="2"/>
        <scheme val="minor"/>
      </rPr>
      <t>t</t>
    </r>
  </si>
  <si>
    <r>
      <t>FEGP</t>
    </r>
    <r>
      <rPr>
        <vertAlign val="subscript"/>
        <sz val="11"/>
        <rFont val="Aptos Narrow"/>
        <family val="2"/>
        <scheme val="minor"/>
      </rPr>
      <t>t</t>
    </r>
  </si>
  <si>
    <r>
      <t>GCA</t>
    </r>
    <r>
      <rPr>
        <vertAlign val="subscript"/>
        <sz val="11"/>
        <rFont val="Aptos Narrow"/>
        <family val="2"/>
        <scheme val="minor"/>
      </rPr>
      <t>t</t>
    </r>
  </si>
  <si>
    <t>Threshold percentage for BRFP adjustment</t>
  </si>
  <si>
    <t>Over/undercollection percentage for RRFP adjustment</t>
  </si>
  <si>
    <r>
      <t>RR</t>
    </r>
    <r>
      <rPr>
        <vertAlign val="subscript"/>
        <sz val="11"/>
        <rFont val="Aptos Narrow"/>
        <family val="2"/>
        <scheme val="minor"/>
      </rPr>
      <t>t</t>
    </r>
  </si>
  <si>
    <r>
      <t>BR</t>
    </r>
    <r>
      <rPr>
        <vertAlign val="superscript"/>
        <sz val="11"/>
        <rFont val="Aptos Narrow"/>
        <family val="2"/>
        <scheme val="minor"/>
      </rPr>
      <t>*</t>
    </r>
    <r>
      <rPr>
        <vertAlign val="subscript"/>
        <sz val="11"/>
        <rFont val="Aptos Narrow"/>
        <family val="2"/>
        <scheme val="minor"/>
      </rPr>
      <t>t</t>
    </r>
  </si>
  <si>
    <r>
      <t>TR</t>
    </r>
    <r>
      <rPr>
        <vertAlign val="superscript"/>
        <sz val="11"/>
        <rFont val="Aptos Narrow"/>
        <family val="2"/>
        <scheme val="minor"/>
      </rPr>
      <t>*</t>
    </r>
    <r>
      <rPr>
        <vertAlign val="subscript"/>
        <sz val="11"/>
        <rFont val="Aptos Narrow"/>
        <family val="2"/>
        <scheme val="minor"/>
      </rPr>
      <t>t</t>
    </r>
  </si>
  <si>
    <r>
      <t>DRSR</t>
    </r>
    <r>
      <rPr>
        <vertAlign val="subscript"/>
        <sz val="11"/>
        <rFont val="Aptos Narrow"/>
        <family val="2"/>
        <scheme val="minor"/>
      </rPr>
      <t>t</t>
    </r>
  </si>
  <si>
    <r>
      <t>DRSC</t>
    </r>
    <r>
      <rPr>
        <vertAlign val="subscript"/>
        <sz val="11"/>
        <rFont val="Aptos Narrow"/>
        <family val="2"/>
        <scheme val="minor"/>
      </rPr>
      <t>t</t>
    </r>
  </si>
  <si>
    <r>
      <t>AND</t>
    </r>
    <r>
      <rPr>
        <vertAlign val="subscript"/>
        <sz val="11"/>
        <rFont val="Aptos Narrow"/>
        <family val="2"/>
        <scheme val="minor"/>
      </rPr>
      <t>t</t>
    </r>
  </si>
  <si>
    <r>
      <t>TDNI</t>
    </r>
    <r>
      <rPr>
        <vertAlign val="subscript"/>
        <sz val="11"/>
        <rFont val="Aptos Narrow"/>
        <family val="2"/>
        <scheme val="minor"/>
      </rPr>
      <t>t</t>
    </r>
  </si>
  <si>
    <r>
      <t>TAXA</t>
    </r>
    <r>
      <rPr>
        <vertAlign val="subscript"/>
        <sz val="11"/>
        <rFont val="Aptos Narrow"/>
        <family val="2"/>
        <scheme val="minor"/>
      </rPr>
      <t>t</t>
    </r>
  </si>
  <si>
    <r>
      <t>TTE</t>
    </r>
    <r>
      <rPr>
        <vertAlign val="subscript"/>
        <sz val="11"/>
        <rFont val="Aptos Narrow"/>
        <family val="2"/>
        <scheme val="minor"/>
      </rPr>
      <t>t</t>
    </r>
  </si>
  <si>
    <r>
      <t>OSRP</t>
    </r>
    <r>
      <rPr>
        <vertAlign val="subscript"/>
        <sz val="11"/>
        <rFont val="Aptos Narrow"/>
        <family val="2"/>
        <scheme val="minor"/>
      </rPr>
      <t>t</t>
    </r>
  </si>
  <si>
    <r>
      <t>OSBP</t>
    </r>
    <r>
      <rPr>
        <vertAlign val="subscript"/>
        <sz val="11"/>
        <rFont val="Aptos Narrow"/>
        <family val="2"/>
        <scheme val="minor"/>
      </rPr>
      <t>t</t>
    </r>
  </si>
  <si>
    <r>
      <t>ODRP</t>
    </r>
    <r>
      <rPr>
        <vertAlign val="subscript"/>
        <sz val="11"/>
        <rFont val="Aptos Narrow"/>
        <family val="2"/>
        <scheme val="minor"/>
      </rPr>
      <t>t</t>
    </r>
  </si>
  <si>
    <r>
      <t>OSRPA</t>
    </r>
    <r>
      <rPr>
        <vertAlign val="subscript"/>
        <sz val="11"/>
        <rFont val="Aptos Narrow"/>
        <family val="2"/>
        <scheme val="minor"/>
      </rPr>
      <t>t</t>
    </r>
  </si>
  <si>
    <r>
      <t>LOSBP</t>
    </r>
    <r>
      <rPr>
        <vertAlign val="subscript"/>
        <sz val="11"/>
        <rFont val="Aptos Narrow"/>
        <family val="2"/>
        <scheme val="minor"/>
      </rPr>
      <t>t</t>
    </r>
  </si>
  <si>
    <r>
      <t>LODRP</t>
    </r>
    <r>
      <rPr>
        <vertAlign val="subscript"/>
        <sz val="11"/>
        <rFont val="Aptos Narrow"/>
        <family val="2"/>
        <scheme val="minor"/>
      </rPr>
      <t>t</t>
    </r>
  </si>
  <si>
    <r>
      <t>OTL</t>
    </r>
    <r>
      <rPr>
        <vertAlign val="subscript"/>
        <sz val="11"/>
        <rFont val="Aptos Narrow"/>
        <family val="2"/>
        <scheme val="minor"/>
      </rPr>
      <t>t</t>
    </r>
  </si>
  <si>
    <r>
      <t>BPI</t>
    </r>
    <r>
      <rPr>
        <vertAlign val="subscript"/>
        <sz val="11"/>
        <rFont val="Aptos Narrow"/>
        <family val="2"/>
        <scheme val="minor"/>
      </rPr>
      <t>t</t>
    </r>
  </si>
  <si>
    <r>
      <t>LRAV</t>
    </r>
    <r>
      <rPr>
        <vertAlign val="subscript"/>
        <sz val="11"/>
        <rFont val="Aptos Narrow"/>
        <family val="2"/>
        <scheme val="minor"/>
      </rPr>
      <t>t</t>
    </r>
  </si>
  <si>
    <r>
      <t>RPE</t>
    </r>
    <r>
      <rPr>
        <vertAlign val="subscript"/>
        <sz val="11"/>
        <rFont val="Aptos Narrow"/>
        <family val="2"/>
        <scheme val="minor"/>
      </rPr>
      <t>t</t>
    </r>
  </si>
  <si>
    <r>
      <t>iBTAR</t>
    </r>
    <r>
      <rPr>
        <vertAlign val="subscript"/>
        <sz val="11"/>
        <rFont val="Aptos Narrow"/>
        <family val="2"/>
        <scheme val="minor"/>
      </rPr>
      <t>t</t>
    </r>
  </si>
  <si>
    <r>
      <t>RFR</t>
    </r>
    <r>
      <rPr>
        <vertAlign val="subscript"/>
        <sz val="11"/>
        <rFont val="Aptos Narrow"/>
        <family val="2"/>
        <scheme val="minor"/>
      </rPr>
      <t>t</t>
    </r>
  </si>
  <si>
    <r>
      <t>CT</t>
    </r>
    <r>
      <rPr>
        <vertAlign val="subscript"/>
        <sz val="11"/>
        <rFont val="Aptos Narrow"/>
        <family val="2"/>
        <scheme val="minor"/>
      </rPr>
      <t>t</t>
    </r>
  </si>
  <si>
    <r>
      <t>SRCA</t>
    </r>
    <r>
      <rPr>
        <vertAlign val="subscript"/>
        <sz val="11"/>
        <rFont val="Aptos Narrow"/>
        <family val="2"/>
        <scheme val="minor"/>
      </rPr>
      <t>t</t>
    </r>
  </si>
  <si>
    <r>
      <t>SBCA</t>
    </r>
    <r>
      <rPr>
        <vertAlign val="subscript"/>
        <sz val="11"/>
        <rFont val="Aptos Narrow"/>
        <family val="2"/>
        <scheme val="minor"/>
      </rPr>
      <t>t</t>
    </r>
  </si>
  <si>
    <r>
      <t>DRCA</t>
    </r>
    <r>
      <rPr>
        <vertAlign val="subscript"/>
        <sz val="11"/>
        <rFont val="Aptos Narrow"/>
        <family val="2"/>
        <scheme val="minor"/>
      </rPr>
      <t>t</t>
    </r>
  </si>
  <si>
    <r>
      <t>FESR</t>
    </r>
    <r>
      <rPr>
        <vertAlign val="subscript"/>
        <sz val="11"/>
        <rFont val="Aptos Narrow"/>
        <family val="2"/>
        <scheme val="minor"/>
      </rPr>
      <t>t</t>
    </r>
  </si>
  <si>
    <r>
      <t>ARGP</t>
    </r>
    <r>
      <rPr>
        <vertAlign val="subscript"/>
        <sz val="11"/>
        <rFont val="Aptos Narrow"/>
        <family val="2"/>
        <scheme val="minor"/>
      </rPr>
      <t>t</t>
    </r>
  </si>
  <si>
    <r>
      <t>ARSR</t>
    </r>
    <r>
      <rPr>
        <vertAlign val="subscript"/>
        <sz val="11"/>
        <rFont val="Aptos Narrow"/>
        <family val="2"/>
        <scheme val="minor"/>
      </rPr>
      <t>t</t>
    </r>
  </si>
  <si>
    <r>
      <t>ARSB</t>
    </r>
    <r>
      <rPr>
        <vertAlign val="subscript"/>
        <sz val="11"/>
        <rFont val="Aptos Narrow"/>
        <family val="2"/>
        <scheme val="minor"/>
      </rPr>
      <t>t</t>
    </r>
  </si>
  <si>
    <r>
      <t>ARDR</t>
    </r>
    <r>
      <rPr>
        <vertAlign val="subscript"/>
        <sz val="11"/>
        <rFont val="Aptos Narrow"/>
        <family val="2"/>
        <scheme val="minor"/>
      </rPr>
      <t>t</t>
    </r>
  </si>
  <si>
    <r>
      <t>ARNQ</t>
    </r>
    <r>
      <rPr>
        <vertAlign val="subscript"/>
        <sz val="11"/>
        <rFont val="Aptos Narrow"/>
        <family val="2"/>
        <scheme val="minor"/>
      </rPr>
      <t>t</t>
    </r>
  </si>
  <si>
    <r>
      <t>ARR</t>
    </r>
    <r>
      <rPr>
        <vertAlign val="subscript"/>
        <sz val="11"/>
        <rFont val="Aptos Narrow"/>
        <family val="2"/>
        <scheme val="minor"/>
      </rPr>
      <t>t</t>
    </r>
  </si>
  <si>
    <r>
      <t>BRFPA</t>
    </r>
    <r>
      <rPr>
        <vertAlign val="subscript"/>
        <sz val="11"/>
        <rFont val="Aptos Narrow"/>
        <family val="2"/>
        <scheme val="minor"/>
      </rPr>
      <t>t</t>
    </r>
  </si>
  <si>
    <r>
      <t>RRFPA</t>
    </r>
    <r>
      <rPr>
        <vertAlign val="subscript"/>
        <sz val="11"/>
        <rFont val="Aptos Narrow"/>
        <family val="2"/>
        <scheme val="minor"/>
      </rPr>
      <t>t</t>
    </r>
  </si>
  <si>
    <t>Revenue for net residual balancing costs</t>
  </si>
  <si>
    <t>Total costs for procurement of operating margin services</t>
  </si>
  <si>
    <r>
      <t>CMIR</t>
    </r>
    <r>
      <rPr>
        <vertAlign val="subscript"/>
        <sz val="11"/>
        <rFont val="Aptos Narrow"/>
        <family val="2"/>
        <scheme val="minor"/>
      </rPr>
      <t>t</t>
    </r>
  </si>
  <si>
    <r>
      <t>RAREnCA</t>
    </r>
    <r>
      <rPr>
        <vertAlign val="subscript"/>
        <sz val="11"/>
        <rFont val="Aptos Narrow"/>
        <family val="2"/>
        <scheme val="minor"/>
      </rPr>
      <t>t</t>
    </r>
  </si>
  <si>
    <r>
      <t>ExBBCNLRA</t>
    </r>
    <r>
      <rPr>
        <vertAlign val="subscript"/>
        <sz val="11"/>
        <rFont val="Aptos Narrow"/>
        <family val="2"/>
        <scheme val="minor"/>
      </rPr>
      <t>t</t>
    </r>
  </si>
  <si>
    <r>
      <t>RBC</t>
    </r>
    <r>
      <rPr>
        <vertAlign val="subscript"/>
        <sz val="11"/>
        <rFont val="Aptos Narrow"/>
        <family val="2"/>
        <scheme val="minor"/>
      </rPr>
      <t>t</t>
    </r>
  </si>
  <si>
    <r>
      <t>OMC</t>
    </r>
    <r>
      <rPr>
        <vertAlign val="subscript"/>
        <sz val="11"/>
        <rFont val="Aptos Narrow"/>
        <family val="2"/>
        <scheme val="minor"/>
      </rPr>
      <t>t</t>
    </r>
  </si>
  <si>
    <r>
      <t>SC</t>
    </r>
    <r>
      <rPr>
        <vertAlign val="subscript"/>
        <sz val="11"/>
        <rFont val="Aptos Narrow"/>
        <family val="2"/>
        <scheme val="minor"/>
      </rPr>
      <t>t</t>
    </r>
  </si>
  <si>
    <r>
      <t>RBIR</t>
    </r>
    <r>
      <rPr>
        <vertAlign val="subscript"/>
        <sz val="11"/>
        <rFont val="Aptos Narrow"/>
        <family val="2"/>
        <scheme val="minor"/>
      </rPr>
      <t>t</t>
    </r>
  </si>
  <si>
    <r>
      <t>QDAIR</t>
    </r>
    <r>
      <rPr>
        <vertAlign val="subscript"/>
        <sz val="11"/>
        <rFont val="Aptos Narrow"/>
        <family val="2"/>
        <scheme val="minor"/>
      </rPr>
      <t>t</t>
    </r>
  </si>
  <si>
    <r>
      <t>MIR</t>
    </r>
    <r>
      <rPr>
        <vertAlign val="subscript"/>
        <sz val="11"/>
        <rFont val="Aptos Narrow"/>
        <family val="2"/>
        <scheme val="minor"/>
      </rPr>
      <t>t</t>
    </r>
  </si>
  <si>
    <r>
      <t>GHGP</t>
    </r>
    <r>
      <rPr>
        <vertAlign val="subscript"/>
        <sz val="11"/>
        <rFont val="Aptos Narrow"/>
        <family val="2"/>
        <scheme val="minor"/>
      </rPr>
      <t>t</t>
    </r>
  </si>
  <si>
    <r>
      <t>GHGCC</t>
    </r>
    <r>
      <rPr>
        <vertAlign val="subscript"/>
        <sz val="11"/>
        <rFont val="Aptos Narrow"/>
        <family val="2"/>
        <scheme val="minor"/>
      </rPr>
      <t>t</t>
    </r>
  </si>
  <si>
    <r>
      <t>SHR</t>
    </r>
    <r>
      <rPr>
        <vertAlign val="subscript"/>
        <sz val="11"/>
        <rFont val="Aptos Narrow"/>
        <family val="2"/>
        <scheme val="minor"/>
      </rPr>
      <t>t</t>
    </r>
  </si>
  <si>
    <r>
      <t>SOPRPN</t>
    </r>
    <r>
      <rPr>
        <vertAlign val="subscript"/>
        <sz val="11"/>
        <rFont val="Aptos Narrow"/>
        <family val="2"/>
        <scheme val="minor"/>
      </rPr>
      <t>t</t>
    </r>
  </si>
  <si>
    <t>System Operator legacy adjustment term</t>
  </si>
  <si>
    <r>
      <t>SOTAXA</t>
    </r>
    <r>
      <rPr>
        <vertAlign val="subscript"/>
        <sz val="11"/>
        <rFont val="Aptos Narrow"/>
        <family val="2"/>
        <scheme val="minor"/>
      </rPr>
      <t>t</t>
    </r>
  </si>
  <si>
    <r>
      <t>SOTTE</t>
    </r>
    <r>
      <rPr>
        <vertAlign val="subscript"/>
        <sz val="11"/>
        <rFont val="Aptos Narrow"/>
        <family val="2"/>
        <scheme val="minor"/>
      </rPr>
      <t>t</t>
    </r>
  </si>
  <si>
    <r>
      <t>SOOGP</t>
    </r>
    <r>
      <rPr>
        <vertAlign val="subscript"/>
        <sz val="11"/>
        <rFont val="Aptos Narrow"/>
        <family val="2"/>
        <scheme val="minor"/>
      </rPr>
      <t>t</t>
    </r>
  </si>
  <si>
    <r>
      <t>SOOSRP</t>
    </r>
    <r>
      <rPr>
        <vertAlign val="subscript"/>
        <sz val="11"/>
        <rFont val="Aptos Narrow"/>
        <family val="2"/>
        <scheme val="minor"/>
      </rPr>
      <t>t</t>
    </r>
  </si>
  <si>
    <r>
      <t>SOOSBP</t>
    </r>
    <r>
      <rPr>
        <vertAlign val="subscript"/>
        <sz val="11"/>
        <rFont val="Aptos Narrow"/>
        <family val="2"/>
        <scheme val="minor"/>
      </rPr>
      <t>t</t>
    </r>
  </si>
  <si>
    <r>
      <t>SOODRP</t>
    </r>
    <r>
      <rPr>
        <vertAlign val="subscript"/>
        <sz val="11"/>
        <rFont val="Aptos Narrow"/>
        <family val="2"/>
        <scheme val="minor"/>
      </rPr>
      <t>t</t>
    </r>
  </si>
  <si>
    <r>
      <t>SOOGPA</t>
    </r>
    <r>
      <rPr>
        <vertAlign val="subscript"/>
        <sz val="11"/>
        <rFont val="Aptos Narrow"/>
        <family val="2"/>
        <scheme val="minor"/>
      </rPr>
      <t>t</t>
    </r>
  </si>
  <si>
    <r>
      <t>SOOSRPA</t>
    </r>
    <r>
      <rPr>
        <vertAlign val="subscript"/>
        <sz val="11"/>
        <rFont val="Aptos Narrow"/>
        <family val="2"/>
        <scheme val="minor"/>
      </rPr>
      <t>t</t>
    </r>
  </si>
  <si>
    <r>
      <t>SOLOSBP</t>
    </r>
    <r>
      <rPr>
        <vertAlign val="subscript"/>
        <sz val="11"/>
        <rFont val="Aptos Narrow"/>
        <family val="2"/>
        <scheme val="minor"/>
      </rPr>
      <t>t</t>
    </r>
  </si>
  <si>
    <r>
      <t>SOLODRP</t>
    </r>
    <r>
      <rPr>
        <vertAlign val="subscript"/>
        <sz val="11"/>
        <rFont val="Aptos Narrow"/>
        <family val="2"/>
        <scheme val="minor"/>
      </rPr>
      <t>t</t>
    </r>
  </si>
  <si>
    <r>
      <t>SOOTL</t>
    </r>
    <r>
      <rPr>
        <vertAlign val="subscript"/>
        <sz val="11"/>
        <rFont val="Aptos Narrow"/>
        <family val="2"/>
        <scheme val="minor"/>
      </rPr>
      <t>t</t>
    </r>
  </si>
  <si>
    <t>SORPEt</t>
  </si>
  <si>
    <r>
      <t>SOFEGP</t>
    </r>
    <r>
      <rPr>
        <vertAlign val="subscript"/>
        <sz val="11"/>
        <rFont val="Aptos Narrow"/>
        <family val="2"/>
        <scheme val="minor"/>
      </rPr>
      <t>t</t>
    </r>
  </si>
  <si>
    <r>
      <t>SOFESR</t>
    </r>
    <r>
      <rPr>
        <vertAlign val="subscript"/>
        <sz val="11"/>
        <rFont val="Aptos Narrow"/>
        <family val="2"/>
        <scheme val="minor"/>
      </rPr>
      <t>t</t>
    </r>
  </si>
  <si>
    <r>
      <t>SOARGP</t>
    </r>
    <r>
      <rPr>
        <vertAlign val="subscript"/>
        <sz val="11"/>
        <rFont val="Aptos Narrow"/>
        <family val="2"/>
        <scheme val="minor"/>
      </rPr>
      <t>t</t>
    </r>
  </si>
  <si>
    <r>
      <t>SOARSR</t>
    </r>
    <r>
      <rPr>
        <vertAlign val="subscript"/>
        <sz val="11"/>
        <rFont val="Aptos Narrow"/>
        <family val="2"/>
        <scheme val="minor"/>
      </rPr>
      <t>t</t>
    </r>
  </si>
  <si>
    <r>
      <t>SOARR</t>
    </r>
    <r>
      <rPr>
        <vertAlign val="subscript"/>
        <sz val="11"/>
        <rFont val="Aptos Narrow"/>
        <family val="2"/>
        <scheme val="minor"/>
      </rPr>
      <t>t</t>
    </r>
  </si>
  <si>
    <r>
      <t>SOARSB</t>
    </r>
    <r>
      <rPr>
        <vertAlign val="subscript"/>
        <sz val="11"/>
        <rFont val="Aptos Narrow"/>
        <family val="2"/>
        <scheme val="minor"/>
      </rPr>
      <t>t</t>
    </r>
  </si>
  <si>
    <r>
      <t>SOARNQ</t>
    </r>
    <r>
      <rPr>
        <vertAlign val="subscript"/>
        <sz val="11"/>
        <rFont val="Aptos Narrow"/>
        <family val="2"/>
        <scheme val="minor"/>
      </rPr>
      <t>t</t>
    </r>
  </si>
  <si>
    <r>
      <t>SOARDR</t>
    </r>
    <r>
      <rPr>
        <vertAlign val="subscript"/>
        <sz val="11"/>
        <rFont val="Aptos Narrow"/>
        <family val="2"/>
        <scheme val="minor"/>
      </rPr>
      <t>t</t>
    </r>
  </si>
  <si>
    <r>
      <t>SOBRFPA</t>
    </r>
    <r>
      <rPr>
        <vertAlign val="subscript"/>
        <sz val="11"/>
        <rFont val="Aptos Narrow"/>
        <family val="2"/>
        <scheme val="minor"/>
      </rPr>
      <t>t</t>
    </r>
  </si>
  <si>
    <r>
      <t>SORRFPA</t>
    </r>
    <r>
      <rPr>
        <vertAlign val="subscript"/>
        <sz val="11"/>
        <rFont val="Aptos Narrow"/>
        <family val="2"/>
        <scheme val="minor"/>
      </rPr>
      <t>t</t>
    </r>
  </si>
  <si>
    <r>
      <t>CY</t>
    </r>
    <r>
      <rPr>
        <vertAlign val="subscript"/>
        <sz val="11"/>
        <rFont val="Aptos Narrow"/>
        <family val="2"/>
        <scheme val="minor"/>
      </rPr>
      <t>t</t>
    </r>
  </si>
  <si>
    <r>
      <t>CYRE</t>
    </r>
    <r>
      <rPr>
        <vertAlign val="subscript"/>
        <sz val="11"/>
        <rFont val="Aptos Narrow"/>
        <family val="2"/>
        <scheme val="minor"/>
      </rPr>
      <t>t</t>
    </r>
  </si>
  <si>
    <r>
      <t>CYU</t>
    </r>
    <r>
      <rPr>
        <vertAlign val="subscript"/>
        <sz val="11"/>
        <rFont val="Aptos Narrow"/>
        <family val="2"/>
        <scheme val="minor"/>
      </rPr>
      <t>t</t>
    </r>
  </si>
  <si>
    <r>
      <t>DEP</t>
    </r>
    <r>
      <rPr>
        <vertAlign val="subscript"/>
        <sz val="11"/>
        <rFont val="Aptos Narrow"/>
        <family val="2"/>
        <scheme val="minor"/>
      </rPr>
      <t>t</t>
    </r>
  </si>
  <si>
    <r>
      <t>DIGI</t>
    </r>
    <r>
      <rPr>
        <vertAlign val="subscript"/>
        <sz val="11"/>
        <rFont val="Aptos Narrow"/>
        <family val="2"/>
        <scheme val="minor"/>
      </rPr>
      <t>t</t>
    </r>
  </si>
  <si>
    <r>
      <t>FIOC</t>
    </r>
    <r>
      <rPr>
        <vertAlign val="subscript"/>
        <sz val="11"/>
        <rFont val="Aptos Narrow"/>
        <family val="2"/>
        <scheme val="minor"/>
      </rPr>
      <t>t</t>
    </r>
  </si>
  <si>
    <r>
      <t>FIOCRE</t>
    </r>
    <r>
      <rPr>
        <vertAlign val="subscript"/>
        <sz val="11"/>
        <rFont val="Aptos Narrow"/>
        <family val="2"/>
        <scheme val="minor"/>
      </rPr>
      <t>t</t>
    </r>
  </si>
  <si>
    <r>
      <t>GNCCRE</t>
    </r>
    <r>
      <rPr>
        <vertAlign val="subscript"/>
        <sz val="11"/>
        <rFont val="Aptos Narrow"/>
        <family val="2"/>
        <scheme val="minor"/>
      </rPr>
      <t>t</t>
    </r>
  </si>
  <si>
    <r>
      <t>NDCRE</t>
    </r>
    <r>
      <rPr>
        <vertAlign val="subscript"/>
        <sz val="11"/>
        <rFont val="Aptos Narrow"/>
        <family val="2"/>
        <scheme val="minor"/>
      </rPr>
      <t>t</t>
    </r>
  </si>
  <si>
    <r>
      <t>LTCPIH</t>
    </r>
    <r>
      <rPr>
        <vertAlign val="subscript"/>
        <sz val="11"/>
        <rFont val="Aptos Narrow"/>
        <family val="2"/>
        <scheme val="minor"/>
      </rPr>
      <t>t</t>
    </r>
  </si>
  <si>
    <r>
      <t>PI</t>
    </r>
    <r>
      <rPr>
        <vertAlign val="subscript"/>
        <sz val="11"/>
        <rFont val="Aptos Narrow"/>
        <family val="2"/>
        <scheme val="minor"/>
      </rPr>
      <t>t</t>
    </r>
  </si>
  <si>
    <r>
      <t>KdILD</t>
    </r>
    <r>
      <rPr>
        <vertAlign val="subscript"/>
        <sz val="11"/>
        <rFont val="Aptos Narrow"/>
        <family val="2"/>
        <scheme val="minor"/>
      </rPr>
      <t>t</t>
    </r>
  </si>
  <si>
    <r>
      <t>KdFRD</t>
    </r>
    <r>
      <rPr>
        <vertAlign val="subscript"/>
        <sz val="11"/>
        <rFont val="Aptos Narrow"/>
        <family val="2"/>
        <scheme val="minor"/>
      </rPr>
      <t>t</t>
    </r>
  </si>
  <si>
    <r>
      <t>ARoE</t>
    </r>
    <r>
      <rPr>
        <vertAlign val="subscript"/>
        <sz val="11"/>
        <rFont val="Aptos Narrow"/>
        <family val="2"/>
        <scheme val="minor"/>
      </rPr>
      <t>t</t>
    </r>
  </si>
  <si>
    <r>
      <t>NomWACC</t>
    </r>
    <r>
      <rPr>
        <vertAlign val="subscript"/>
        <sz val="11"/>
        <rFont val="Aptos Narrow"/>
        <family val="2"/>
        <scheme val="minor"/>
      </rPr>
      <t>t</t>
    </r>
  </si>
  <si>
    <r>
      <t>SnomWACC</t>
    </r>
    <r>
      <rPr>
        <vertAlign val="subscript"/>
        <sz val="11"/>
        <rFont val="Aptos Narrow"/>
        <family val="2"/>
        <scheme val="minor"/>
      </rPr>
      <t>t</t>
    </r>
  </si>
  <si>
    <r>
      <t>LADJ</t>
    </r>
    <r>
      <rPr>
        <vertAlign val="subscript"/>
        <sz val="11"/>
        <rFont val="Aptos Narrow"/>
        <family val="2"/>
        <scheme val="minor"/>
      </rPr>
      <t>t</t>
    </r>
  </si>
  <si>
    <r>
      <t>LK</t>
    </r>
    <r>
      <rPr>
        <vertAlign val="subscript"/>
        <sz val="11"/>
        <rFont val="Aptos Narrow"/>
        <family val="2"/>
        <scheme val="minor"/>
      </rPr>
      <t>t</t>
    </r>
  </si>
  <si>
    <r>
      <t>LAR</t>
    </r>
    <r>
      <rPr>
        <vertAlign val="subscript"/>
        <sz val="11"/>
        <rFont val="Aptos Narrow"/>
        <family val="2"/>
        <scheme val="minor"/>
      </rPr>
      <t>t</t>
    </r>
  </si>
  <si>
    <r>
      <t>SOANC</t>
    </r>
    <r>
      <rPr>
        <vertAlign val="subscript"/>
        <sz val="11"/>
        <rFont val="Aptos Narrow"/>
        <family val="2"/>
        <scheme val="minor"/>
      </rPr>
      <t>t</t>
    </r>
  </si>
  <si>
    <r>
      <t>SOACO</t>
    </r>
    <r>
      <rPr>
        <vertAlign val="subscript"/>
        <sz val="11"/>
        <rFont val="Aptos Narrow"/>
        <family val="2"/>
        <scheme val="minor"/>
      </rPr>
      <t>t</t>
    </r>
  </si>
  <si>
    <r>
      <t>SOEDE</t>
    </r>
    <r>
      <rPr>
        <vertAlign val="subscript"/>
        <sz val="11"/>
        <rFont val="Aptos Narrow"/>
        <family val="2"/>
        <scheme val="minor"/>
      </rPr>
      <t>t</t>
    </r>
  </si>
  <si>
    <r>
      <t>CDSP</t>
    </r>
    <r>
      <rPr>
        <vertAlign val="subscript"/>
        <sz val="11"/>
        <rFont val="Aptos Narrow"/>
        <family val="2"/>
        <scheme val="minor"/>
      </rPr>
      <t>t</t>
    </r>
  </si>
  <si>
    <r>
      <t>ARGSP</t>
    </r>
    <r>
      <rPr>
        <vertAlign val="subscript"/>
        <sz val="11"/>
        <rFont val="Aptos Narrow"/>
        <family val="2"/>
        <scheme val="minor"/>
      </rPr>
      <t>t</t>
    </r>
  </si>
  <si>
    <r>
      <t>SOANC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</si>
  <si>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SOACO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</si>
  <si>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SOPT</t>
    </r>
    <r>
      <rPr>
        <vertAlign val="subscript"/>
        <sz val="11"/>
        <rFont val="Aptos Narrow"/>
        <family val="2"/>
        <scheme val="minor"/>
      </rPr>
      <t>t</t>
    </r>
  </si>
  <si>
    <r>
      <t>CM</t>
    </r>
    <r>
      <rPr>
        <vertAlign val="subscript"/>
        <sz val="11"/>
        <rFont val="Aptos Narrow"/>
        <family val="2"/>
        <scheme val="minor"/>
      </rPr>
      <t>t</t>
    </r>
  </si>
  <si>
    <r>
      <t>SOIRC</t>
    </r>
    <r>
      <rPr>
        <vertAlign val="subscript"/>
        <sz val="11"/>
        <rFont val="Aptos Narrow"/>
        <family val="2"/>
        <scheme val="minor"/>
      </rPr>
      <t>t</t>
    </r>
  </si>
  <si>
    <r>
      <t>SOEI</t>
    </r>
    <r>
      <rPr>
        <vertAlign val="subscript"/>
        <sz val="11"/>
        <rFont val="Aptos Narrow"/>
        <family val="2"/>
        <scheme val="minor"/>
      </rPr>
      <t>t</t>
    </r>
  </si>
  <si>
    <r>
      <t>SOORA</t>
    </r>
    <r>
      <rPr>
        <vertAlign val="subscript"/>
        <sz val="11"/>
        <rFont val="Aptos Narrow"/>
        <family val="2"/>
        <scheme val="minor"/>
      </rPr>
      <t>t</t>
    </r>
  </si>
  <si>
    <r>
      <t>SORR</t>
    </r>
    <r>
      <rPr>
        <vertAlign val="subscript"/>
        <sz val="11"/>
        <rFont val="Aptos Narrow"/>
        <family val="2"/>
        <scheme val="minor"/>
      </rPr>
      <t>t</t>
    </r>
  </si>
  <si>
    <r>
      <t>SOBR</t>
    </r>
    <r>
      <rPr>
        <vertAlign val="superscript"/>
        <sz val="11"/>
        <rFont val="Aptos Narrow"/>
        <family val="2"/>
        <scheme val="minor"/>
      </rPr>
      <t>*</t>
    </r>
    <r>
      <rPr>
        <vertAlign val="subscript"/>
        <sz val="11"/>
        <rFont val="Aptos Narrow"/>
        <family val="2"/>
        <scheme val="minor"/>
      </rPr>
      <t>t</t>
    </r>
  </si>
  <si>
    <r>
      <t>SOTR</t>
    </r>
    <r>
      <rPr>
        <vertAlign val="superscript"/>
        <sz val="11"/>
        <rFont val="Aptos Narrow"/>
        <family val="2"/>
        <scheme val="minor"/>
      </rPr>
      <t>*</t>
    </r>
    <r>
      <rPr>
        <vertAlign val="subscript"/>
        <sz val="11"/>
        <rFont val="Aptos Narrow"/>
        <family val="2"/>
        <scheme val="minor"/>
      </rPr>
      <t>t</t>
    </r>
  </si>
  <si>
    <t>Cyber resilience Use it or lose it allowance</t>
  </si>
  <si>
    <t>Pipeline Diversions Re-opener</t>
  </si>
  <si>
    <r>
      <t>RESRE</t>
    </r>
    <r>
      <rPr>
        <vertAlign val="subscript"/>
        <sz val="11"/>
        <color theme="1"/>
        <rFont val="Aptos Narrow"/>
        <family val="2"/>
        <scheme val="minor"/>
      </rPr>
      <t>t</t>
    </r>
  </si>
  <si>
    <r>
      <t>SIF</t>
    </r>
    <r>
      <rPr>
        <vertAlign val="subscript"/>
        <sz val="11"/>
        <rFont val="Aptos Narrow"/>
        <family val="2"/>
        <scheme val="minor"/>
      </rPr>
      <t>t</t>
    </r>
  </si>
  <si>
    <t>TO NPV-neutral RAV return base</t>
  </si>
  <si>
    <t>TO pre-TIM over(under)spend - cap rate 1</t>
  </si>
  <si>
    <t>TO pre-TIM over(under)spend - cap rate 2</t>
  </si>
  <si>
    <t>TO output delivery incentives</t>
  </si>
  <si>
    <t>SO NPV-neutral RAV return base</t>
  </si>
  <si>
    <t>SO pre-TIM over(under)spend</t>
  </si>
  <si>
    <t>SO Funding Adjustment Rate ('sharing factor')</t>
  </si>
  <si>
    <t>TO Funding Adjustment Rate ('sharing factor')</t>
  </si>
  <si>
    <t>SO incentives</t>
  </si>
  <si>
    <t>TO opening RAV (before inflation)</t>
  </si>
  <si>
    <t>SO opening RAV (after inflation)</t>
  </si>
  <si>
    <t>TO closing RAV</t>
  </si>
  <si>
    <t>SO closing RAV</t>
  </si>
  <si>
    <t>Core depreciation</t>
  </si>
  <si>
    <t>Logged-up and security costs depreciation</t>
  </si>
  <si>
    <t>Revenue driver depreciation</t>
  </si>
  <si>
    <t>Legacy closing RAV</t>
  </si>
  <si>
    <t>Legacy adjustment factor phasing</t>
  </si>
  <si>
    <t>SO legacy adjustment factor phasing</t>
  </si>
  <si>
    <t>Legacy K correction factor phasing</t>
  </si>
  <si>
    <t>SO legacy K correction factor phasing</t>
  </si>
  <si>
    <t>annual nominal %</t>
  </si>
  <si>
    <t>Spare 4</t>
  </si>
  <si>
    <t>Spare 5</t>
  </si>
  <si>
    <t>Spare 6</t>
  </si>
  <si>
    <t>Spare 7</t>
  </si>
  <si>
    <t>Spare 8</t>
  </si>
  <si>
    <t>Legacy adjustment term</t>
  </si>
  <si>
    <t>Legacy adjustment factor phasing (must be 1 or 5)</t>
  </si>
  <si>
    <t>Legacy K correction factor phasing (must be 1 or 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</si>
</sst>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164" formatCode="0.0"/>
    <numFmt numFmtId="165" formatCode="#,##0.0_);\(#,##0.0\);\-_)"/>
    <numFmt numFmtId="166" formatCode="_(* #,##0.00_);_(* \(#,##0.00\);_(* &quot;-&quot;??_);_(@_)"/>
    <numFmt numFmtId="167" formatCode="0.00000%"/>
    <numFmt numFmtId="168" formatCode="#,##0.0;\(#,##0.0\);&quot;-&quot;"/>
    <numFmt numFmtId="169" formatCode="0.0%;\(0.0%\);&quot;-&quot;"/>
    <numFmt numFmtId="170" formatCode="0;\(0\);&quot;-&quot;"/>
    <numFmt numFmtId="171" formatCode="0.00;\(0.00\);&quot;-&quot;"/>
    <numFmt numFmtId="172" formatCode="#,##0.00000"/>
    <numFmt numFmtId="173" formatCode="0.000000000%"/>
    <numFmt numFmtId="174" formatCode="General;\-General;&quot;-&quot;"/>
    <numFmt numFmtId="175" formatCode="#,##0.00000000000"/>
    <numFmt numFmtId="176" formatCode="#,##0.0000000"/>
    <numFmt numFmtId="177" formatCode="0%;\(0%\);&quot;-&quot;"/>
    <numFmt numFmtId="178" formatCode="0.000%;\(0.000%\);&quot;-&quot;"/>
    <numFmt numFmtId="179" formatCode="0.00%;\(0.00%\);&quot;-&quot;"/>
  </numFmts>
  <fonts count="36">
    <font>
      <sz val="11"/>
      <color theme="1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0"/>
      <color theme="1"/>
      <name val="Aptos"/>
      <family val="2"/>
    </font>
    <font>
      <sz val="10"/>
      <color theme="1"/>
      <name val="Gill Sans MT"/>
      <family val="2"/>
    </font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i/>
      <sz val="10"/>
      <color theme="1"/>
      <name val="Gill Sans MT"/>
      <family val="2"/>
    </font>
    <font>
      <sz val="11"/>
      <color theme="4"/>
      <name val="Aptos Narrow"/>
      <family val="2"/>
      <scheme val="minor"/>
    </font>
    <font>
      <b/>
      <sz val="11"/>
      <name val="Aptos Narrow"/>
      <family val="2"/>
      <scheme val="minor"/>
    </font>
    <font>
      <i/>
      <sz val="11"/>
      <name val="Aptos Narrow"/>
      <family val="2"/>
      <scheme val="minor"/>
    </font>
    <font>
      <b/>
      <i/>
      <sz val="10"/>
      <color theme="1"/>
      <name val="Gill Sans MT"/>
      <family val="2"/>
    </font>
    <font>
      <sz val="10"/>
      <color theme="1"/>
      <name val="Verdana"/>
      <family val="2"/>
    </font>
    <font>
      <sz val="10"/>
      <name val="Gill Sans MT"/>
      <family val="2"/>
    </font>
    <font>
      <sz val="11"/>
      <name val="CG Omega"/>
      <family val="2"/>
    </font>
    <font>
      <sz val="10"/>
      <color theme="0" tint="-4.9989318521683403E-2"/>
      <name val="Gill Sans MT"/>
      <family val="2"/>
    </font>
    <font>
      <sz val="10"/>
      <color theme="0" tint="-0.34998626667073579"/>
      <name val="Gill Sans MT"/>
      <family val="2"/>
    </font>
    <font>
      <sz val="11"/>
      <color theme="0" tint="-0.34998626667073579"/>
      <name val="Aptos Narrow"/>
      <family val="2"/>
      <scheme val="minor"/>
    </font>
    <font>
      <sz val="11"/>
      <color theme="1" tint="0.499984740745262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sz val="11"/>
      <color theme="2" tint="-0.89999084444715716"/>
      <name val="Aptos Narrow"/>
      <family val="2"/>
      <scheme val="minor"/>
    </font>
    <font>
      <i/>
      <sz val="11"/>
      <color indexed="8"/>
      <name val="Aptos Narrow"/>
      <family val="2"/>
      <scheme val="minor"/>
    </font>
    <font>
      <b/>
      <i/>
      <sz val="11"/>
      <name val="Aptos Narrow"/>
      <family val="2"/>
      <scheme val="minor"/>
    </font>
    <font>
      <sz val="11"/>
      <color rgb="FFFF0000"/>
      <name val="Aptos Narrow"/>
      <family val="2"/>
      <scheme val="minor"/>
    </font>
    <font>
      <vertAlign val="subscript"/>
      <sz val="11"/>
      <name val="Aptos Narrow"/>
      <family val="2"/>
      <scheme val="minor"/>
    </font>
    <font>
      <vertAlign val="subscript"/>
      <sz val="11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  <font>
      <b/>
      <vertAlign val="superscript"/>
      <sz val="11"/>
      <color theme="1"/>
      <name val="Aptos Narrow"/>
      <family val="2"/>
      <scheme val="minor"/>
    </font>
    <font>
      <b/>
      <vertAlign val="subscript"/>
      <sz val="11"/>
      <color theme="3"/>
      <name val="Aptos Narrow"/>
      <family val="2"/>
      <scheme val="minor"/>
    </font>
    <font>
      <vertAlign val="superscript"/>
      <sz val="11"/>
      <name val="Aptos Narrow"/>
      <family val="2"/>
      <scheme val="minor"/>
    </font>
    <font>
      <sz val="9"/>
      <color theme="1"/>
      <name val="Aptos Narrow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99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DCA90"/>
        <bgColor indexed="64"/>
      </patternFill>
    </fill>
    <fill>
      <patternFill patternType="solid">
        <fgColor rgb="FF85ABDA"/>
        <bgColor indexed="64"/>
      </patternFill>
    </fill>
    <fill>
      <patternFill patternType="solid">
        <fgColor rgb="FFBAA0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5E1FF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3E4EB"/>
        <bgColor indexed="64"/>
      </patternFill>
    </fill>
    <fill>
      <patternFill patternType="solid">
        <fgColor rgb="FF7FB5BA"/>
        <bgColor indexed="64"/>
      </patternFill>
    </fill>
    <fill>
      <patternFill patternType="solid">
        <fgColor rgb="FFE9D2C6"/>
        <bgColor indexed="64"/>
      </patternFill>
    </fill>
  </fills>
  <borders count="3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indexed="64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indexed="64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dashed">
        <color indexed="64"/>
      </right>
      <top style="thin">
        <color rgb="FF7F7F7F"/>
      </top>
      <bottom style="thin">
        <color rgb="FF7F7F7F"/>
      </bottom>
      <diagonal/>
    </border>
    <border>
      <left/>
      <right style="thin">
        <color rgb="FF7F7F7F"/>
      </right>
      <top/>
      <bottom style="thin">
        <color rgb="FF7F7F7F"/>
      </bottom>
      <diagonal/>
    </border>
    <border>
      <left style="dashed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/>
      <right style="thin">
        <color rgb="FF7F7F7F"/>
      </right>
      <top style="dashed">
        <color indexed="64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dashed">
        <color indexed="64"/>
      </top>
      <bottom style="thin">
        <color rgb="FF7F7F7F"/>
      </bottom>
      <diagonal/>
    </border>
    <border>
      <left style="thin">
        <color rgb="FF7F7F7F"/>
      </left>
      <right style="dashed">
        <color indexed="64"/>
      </right>
      <top style="dashed">
        <color indexed="64"/>
      </top>
      <bottom style="thin">
        <color rgb="FF7F7F7F"/>
      </bottom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/>
      <right style="thin">
        <color rgb="FF7F7F7F"/>
      </right>
      <top style="thin">
        <color rgb="FF7F7F7F"/>
      </top>
      <bottom style="dashed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dashed">
        <color indexed="64"/>
      </bottom>
      <diagonal/>
    </border>
    <border>
      <left style="thin">
        <color rgb="FF7F7F7F"/>
      </left>
      <right style="dashed">
        <color indexed="64"/>
      </right>
      <top style="thin">
        <color rgb="FF7F7F7F"/>
      </top>
      <bottom style="dashed">
        <color indexed="64"/>
      </bottom>
      <diagonal/>
    </border>
    <border>
      <left style="dashed">
        <color indexed="64"/>
      </left>
      <right/>
      <top/>
      <bottom/>
      <diagonal/>
    </border>
    <border>
      <left/>
      <right style="thin">
        <color rgb="FF7F7F7F"/>
      </right>
      <top style="thin">
        <color rgb="FF7F7F7F"/>
      </top>
      <bottom/>
      <diagonal/>
    </border>
    <border>
      <left style="thin">
        <color rgb="FF7F7F7F"/>
      </left>
      <right style="dashed">
        <color indexed="64"/>
      </right>
      <top style="thin">
        <color rgb="FF7F7F7F"/>
      </top>
      <bottom/>
      <diagonal/>
    </border>
    <border>
      <left style="thin">
        <color rgb="FF7F7F7F"/>
      </left>
      <right style="dashed">
        <color indexed="64"/>
      </right>
      <top/>
      <bottom style="thin">
        <color rgb="FF7F7F7F"/>
      </bottom>
      <diagonal/>
    </border>
    <border>
      <left style="thin">
        <color rgb="FF7F7F7F"/>
      </left>
      <right style="thin">
        <color indexed="64"/>
      </right>
      <top/>
      <bottom style="thin">
        <color rgb="FF7F7F7F"/>
      </bottom>
      <diagonal/>
    </border>
  </borders>
  <cellStyleXfs count="37">
    <xf numFmtId="0" fontId="0" fillId="0" borderId="0"/>
    <xf numFmtId="179" fontId="1" fillId="4" borderId="1" applyAlignment="0" applyProtection="0"/>
    <xf numFmtId="168" fontId="4" fillId="5" borderId="1" applyAlignment="0" applyProtection="0"/>
    <xf numFmtId="9" fontId="7" fillId="0" borderId="0" applyFont="0" applyFill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168" fontId="13" fillId="0" borderId="1" applyAlignment="0" applyProtection="0"/>
    <xf numFmtId="168" fontId="4" fillId="0" borderId="1" applyAlignment="0" applyProtection="0"/>
    <xf numFmtId="168" fontId="1" fillId="4" borderId="1" applyAlignment="0" applyProtection="0"/>
    <xf numFmtId="168" fontId="4" fillId="6" borderId="1" applyAlignment="0" applyProtection="0"/>
    <xf numFmtId="168" fontId="14" fillId="0" borderId="1" applyAlignment="0" applyProtection="0"/>
    <xf numFmtId="179" fontId="4" fillId="5" borderId="1" applyAlignment="0" applyProtection="0"/>
    <xf numFmtId="179" fontId="4" fillId="0" borderId="1" applyAlignment="0" applyProtection="0"/>
    <xf numFmtId="179" fontId="13" fillId="0" borderId="1" applyAlignment="0" applyProtection="0"/>
    <xf numFmtId="179" fontId="4" fillId="6" borderId="1" applyAlignment="0" applyProtection="0"/>
    <xf numFmtId="0" fontId="17" fillId="0" borderId="0"/>
    <xf numFmtId="165" fontId="6" fillId="7" borderId="0"/>
    <xf numFmtId="165" fontId="18" fillId="8" borderId="0" applyBorder="0">
      <alignment vertical="center"/>
    </xf>
    <xf numFmtId="10" fontId="6" fillId="0" borderId="0" applyFont="0" applyFill="0" applyBorder="0" applyAlignment="0" applyProtection="0">
      <alignment vertical="center"/>
    </xf>
    <xf numFmtId="166" fontId="19" fillId="0" borderId="0" applyFont="0" applyFill="0" applyBorder="0" applyAlignment="0" applyProtection="0"/>
    <xf numFmtId="165" fontId="20" fillId="9" borderId="0"/>
    <xf numFmtId="165" fontId="18" fillId="3" borderId="0"/>
    <xf numFmtId="170" fontId="1" fillId="4" borderId="1" applyAlignment="0" applyProtection="0"/>
    <xf numFmtId="14" fontId="1" fillId="4" borderId="1" applyAlignment="0" applyProtection="0"/>
    <xf numFmtId="170" fontId="4" fillId="5" borderId="1" applyAlignment="0" applyProtection="0"/>
    <xf numFmtId="171" fontId="1" fillId="4" borderId="1" applyAlignment="0" applyProtection="0"/>
    <xf numFmtId="14" fontId="13" fillId="0" borderId="1" applyAlignment="0" applyProtection="0"/>
    <xf numFmtId="170" fontId="13" fillId="0" borderId="1" applyAlignment="0" applyProtection="0"/>
    <xf numFmtId="170" fontId="4" fillId="0" borderId="1" applyAlignment="0" applyProtection="0"/>
    <xf numFmtId="171" fontId="4" fillId="0" borderId="1" applyAlignment="0" applyProtection="0"/>
    <xf numFmtId="14" fontId="4" fillId="0" borderId="1" applyAlignment="0" applyProtection="0"/>
    <xf numFmtId="170" fontId="4" fillId="6" borderId="1" applyAlignment="0" applyProtection="0"/>
    <xf numFmtId="171" fontId="4" fillId="6" borderId="1" applyAlignment="0" applyProtection="0"/>
    <xf numFmtId="14" fontId="4" fillId="6" borderId="1" applyAlignment="0" applyProtection="0"/>
    <xf numFmtId="171" fontId="13" fillId="0" borderId="1" applyAlignment="0" applyProtection="0"/>
    <xf numFmtId="0" fontId="11" fillId="0" borderId="0" applyNumberFormat="0" applyFill="0" applyBorder="0" applyAlignment="0" applyProtection="0"/>
  </cellStyleXfs>
  <cellXfs count="260">
    <xf numFmtId="0" fontId="0" fillId="0" borderId="0" xfId="0"/>
    <xf numFmtId="0" fontId="3" fillId="0" borderId="0" xfId="0" applyFont="1"/>
    <xf numFmtId="0" fontId="2" fillId="0" borderId="0" xfId="0" applyFont="1"/>
    <xf numFmtId="164" fontId="0" fillId="0" borderId="0" xfId="0" applyNumberFormat="1"/>
    <xf numFmtId="0" fontId="4" fillId="0" borderId="0" xfId="0" applyFont="1"/>
    <xf numFmtId="0" fontId="5" fillId="0" borderId="0" xfId="0" applyFont="1"/>
    <xf numFmtId="165" fontId="5" fillId="0" borderId="0" xfId="0" applyNumberFormat="1" applyFont="1" applyAlignment="1">
      <alignment vertical="center"/>
    </xf>
    <xf numFmtId="0" fontId="3" fillId="0" borderId="0" xfId="0" quotePrefix="1" applyFont="1"/>
    <xf numFmtId="165" fontId="6" fillId="0" borderId="0" xfId="0" applyNumberFormat="1" applyFont="1" applyAlignment="1">
      <alignment vertical="center"/>
    </xf>
    <xf numFmtId="165" fontId="12" fillId="0" borderId="0" xfId="0" applyNumberFormat="1" applyFont="1" applyAlignment="1">
      <alignment vertical="center"/>
    </xf>
    <xf numFmtId="165" fontId="9" fillId="0" borderId="3" xfId="4" applyNumberFormat="1" applyAlignment="1">
      <alignment vertical="center"/>
    </xf>
    <xf numFmtId="165" fontId="10" fillId="0" borderId="4" xfId="5" applyNumberFormat="1" applyAlignment="1">
      <alignment vertical="center"/>
    </xf>
    <xf numFmtId="165" fontId="11" fillId="0" borderId="5" xfId="6" applyNumberFormat="1"/>
    <xf numFmtId="0" fontId="0" fillId="0" borderId="0" xfId="0" applyAlignment="1">
      <alignment vertical="center"/>
    </xf>
    <xf numFmtId="0" fontId="11" fillId="0" borderId="5" xfId="6"/>
    <xf numFmtId="0" fontId="9" fillId="0" borderId="3" xfId="4"/>
    <xf numFmtId="9" fontId="0" fillId="0" borderId="0" xfId="3" applyFont="1"/>
    <xf numFmtId="0" fontId="10" fillId="0" borderId="4" xfId="5"/>
    <xf numFmtId="0" fontId="3" fillId="0" borderId="0" xfId="0" applyFont="1" applyAlignment="1">
      <alignment vertical="center"/>
    </xf>
    <xf numFmtId="0" fontId="15" fillId="0" borderId="0" xfId="0" applyFont="1"/>
    <xf numFmtId="0" fontId="9" fillId="0" borderId="3" xfId="4" applyAlignment="1">
      <alignment vertical="center"/>
    </xf>
    <xf numFmtId="0" fontId="9" fillId="0" borderId="3" xfId="4" applyFill="1"/>
    <xf numFmtId="165" fontId="9" fillId="0" borderId="3" xfId="4" applyNumberFormat="1" applyFill="1" applyAlignment="1">
      <alignment vertical="center"/>
    </xf>
    <xf numFmtId="0" fontId="9" fillId="0" borderId="3" xfId="4" applyFill="1" applyAlignment="1">
      <alignment vertical="center"/>
    </xf>
    <xf numFmtId="165" fontId="21" fillId="0" borderId="0" xfId="0" applyNumberFormat="1" applyFont="1" applyAlignment="1">
      <alignment vertical="center"/>
    </xf>
    <xf numFmtId="0" fontId="22" fillId="0" borderId="0" xfId="0" applyFont="1"/>
    <xf numFmtId="167" fontId="0" fillId="0" borderId="0" xfId="3" applyNumberFormat="1" applyFont="1"/>
    <xf numFmtId="170" fontId="4" fillId="6" borderId="1" xfId="32"/>
    <xf numFmtId="168" fontId="4" fillId="5" borderId="1" xfId="2" applyAlignment="1">
      <alignment vertical="center"/>
    </xf>
    <xf numFmtId="179" fontId="4" fillId="5" borderId="1" xfId="12" applyAlignment="1">
      <alignment vertical="center"/>
    </xf>
    <xf numFmtId="168" fontId="1" fillId="4" borderId="6" xfId="9" applyBorder="1" applyAlignment="1">
      <alignment vertical="center"/>
    </xf>
    <xf numFmtId="168" fontId="1" fillId="4" borderId="1" xfId="9" applyAlignment="1">
      <alignment vertical="center"/>
    </xf>
    <xf numFmtId="179" fontId="1" fillId="4" borderId="1" xfId="1" applyAlignment="1">
      <alignment vertical="center"/>
    </xf>
    <xf numFmtId="170" fontId="1" fillId="4" borderId="1" xfId="23" applyAlignment="1">
      <alignment vertical="center"/>
    </xf>
    <xf numFmtId="14" fontId="1" fillId="4" borderId="1" xfId="24" applyAlignment="1">
      <alignment vertical="center"/>
    </xf>
    <xf numFmtId="14" fontId="1" fillId="4" borderId="1" xfId="24"/>
    <xf numFmtId="170" fontId="4" fillId="5" borderId="1" xfId="25"/>
    <xf numFmtId="168" fontId="4" fillId="5" borderId="1" xfId="2"/>
    <xf numFmtId="168" fontId="13" fillId="0" borderId="1" xfId="7"/>
    <xf numFmtId="179" fontId="4" fillId="5" borderId="1" xfId="12"/>
    <xf numFmtId="171" fontId="1" fillId="4" borderId="1" xfId="26" applyAlignment="1">
      <alignment vertical="center"/>
    </xf>
    <xf numFmtId="170" fontId="1" fillId="4" borderId="1" xfId="23"/>
    <xf numFmtId="168" fontId="1" fillId="4" borderId="1" xfId="9"/>
    <xf numFmtId="165" fontId="0" fillId="0" borderId="0" xfId="0" applyNumberFormat="1" applyAlignment="1">
      <alignment vertical="center"/>
    </xf>
    <xf numFmtId="165" fontId="3" fillId="0" borderId="0" xfId="0" applyNumberFormat="1" applyFont="1" applyAlignment="1">
      <alignment vertical="center"/>
    </xf>
    <xf numFmtId="165" fontId="23" fillId="0" borderId="0" xfId="0" applyNumberFormat="1" applyFont="1" applyAlignment="1">
      <alignment vertical="center"/>
    </xf>
    <xf numFmtId="165" fontId="22" fillId="0" borderId="0" xfId="0" applyNumberFormat="1" applyFont="1" applyAlignment="1">
      <alignment vertical="center"/>
    </xf>
    <xf numFmtId="165" fontId="0" fillId="0" borderId="0" xfId="0" applyNumberFormat="1" applyAlignment="1">
      <alignment vertical="center" wrapText="1"/>
    </xf>
    <xf numFmtId="165" fontId="4" fillId="0" borderId="0" xfId="0" applyNumberFormat="1" applyFont="1" applyAlignment="1">
      <alignment vertical="center"/>
    </xf>
    <xf numFmtId="170" fontId="13" fillId="0" borderId="1" xfId="28" applyAlignment="1">
      <alignment vertical="center"/>
    </xf>
    <xf numFmtId="168" fontId="13" fillId="0" borderId="1" xfId="7" applyAlignment="1">
      <alignment vertical="center"/>
    </xf>
    <xf numFmtId="170" fontId="4" fillId="0" borderId="1" xfId="29" applyAlignment="1">
      <alignment vertical="center"/>
    </xf>
    <xf numFmtId="170" fontId="4" fillId="0" borderId="1" xfId="29"/>
    <xf numFmtId="168" fontId="14" fillId="0" borderId="1" xfId="11" applyAlignment="1">
      <alignment vertical="center"/>
    </xf>
    <xf numFmtId="168" fontId="4" fillId="0" borderId="1" xfId="8" applyAlignment="1">
      <alignment vertical="center"/>
    </xf>
    <xf numFmtId="179" fontId="4" fillId="0" borderId="1" xfId="13" applyAlignment="1">
      <alignment vertical="center"/>
    </xf>
    <xf numFmtId="179" fontId="13" fillId="0" borderId="1" xfId="14" applyAlignment="1">
      <alignment vertical="center"/>
    </xf>
    <xf numFmtId="168" fontId="4" fillId="0" borderId="6" xfId="8" applyBorder="1"/>
    <xf numFmtId="14" fontId="13" fillId="0" borderId="1" xfId="27" applyAlignment="1">
      <alignment vertical="center"/>
    </xf>
    <xf numFmtId="170" fontId="13" fillId="0" borderId="1" xfId="28"/>
    <xf numFmtId="179" fontId="13" fillId="0" borderId="1" xfId="14"/>
    <xf numFmtId="168" fontId="4" fillId="0" borderId="1" xfId="8"/>
    <xf numFmtId="179" fontId="4" fillId="0" borderId="1" xfId="13"/>
    <xf numFmtId="171" fontId="4" fillId="0" borderId="1" xfId="30"/>
    <xf numFmtId="14" fontId="4" fillId="0" borderId="1" xfId="31"/>
    <xf numFmtId="168" fontId="14" fillId="0" borderId="1" xfId="11"/>
    <xf numFmtId="165" fontId="0" fillId="0" borderId="0" xfId="0" quotePrefix="1" applyNumberFormat="1" applyAlignment="1">
      <alignment vertical="center"/>
    </xf>
    <xf numFmtId="171" fontId="4" fillId="0" borderId="1" xfId="30" applyAlignment="1">
      <alignment vertical="center"/>
    </xf>
    <xf numFmtId="14" fontId="0" fillId="0" borderId="0" xfId="0" applyNumberFormat="1"/>
    <xf numFmtId="168" fontId="4" fillId="6" borderId="1" xfId="10"/>
    <xf numFmtId="179" fontId="4" fillId="6" borderId="1" xfId="15"/>
    <xf numFmtId="171" fontId="4" fillId="6" borderId="1" xfId="33"/>
    <xf numFmtId="168" fontId="13" fillId="0" borderId="6" xfId="7" applyBorder="1"/>
    <xf numFmtId="165" fontId="0" fillId="0" borderId="0" xfId="0" applyNumberFormat="1"/>
    <xf numFmtId="0" fontId="0" fillId="0" borderId="0" xfId="0" quotePrefix="1"/>
    <xf numFmtId="14" fontId="4" fillId="6" borderId="1" xfId="34"/>
    <xf numFmtId="165" fontId="0" fillId="0" borderId="2" xfId="0" applyNumberFormat="1" applyBorder="1" applyAlignment="1">
      <alignment vertical="center"/>
    </xf>
    <xf numFmtId="0" fontId="0" fillId="0" borderId="2" xfId="0" applyBorder="1"/>
    <xf numFmtId="168" fontId="4" fillId="5" borderId="8" xfId="2" applyBorder="1" applyAlignment="1">
      <alignment vertical="center"/>
    </xf>
    <xf numFmtId="170" fontId="1" fillId="4" borderId="8" xfId="23" applyBorder="1" applyAlignment="1">
      <alignment vertical="center"/>
    </xf>
    <xf numFmtId="179" fontId="4" fillId="5" borderId="8" xfId="12" applyBorder="1" applyAlignment="1">
      <alignment vertical="center"/>
    </xf>
    <xf numFmtId="170" fontId="4" fillId="5" borderId="8" xfId="25" applyBorder="1"/>
    <xf numFmtId="179" fontId="4" fillId="5" borderId="8" xfId="12" applyBorder="1"/>
    <xf numFmtId="170" fontId="1" fillId="4" borderId="8" xfId="23" applyBorder="1"/>
    <xf numFmtId="171" fontId="13" fillId="0" borderId="1" xfId="35" applyAlignment="1">
      <alignment vertical="center"/>
    </xf>
    <xf numFmtId="171" fontId="4" fillId="0" borderId="6" xfId="30" applyBorder="1" applyAlignment="1">
      <alignment vertical="center"/>
    </xf>
    <xf numFmtId="179" fontId="13" fillId="0" borderId="8" xfId="14" applyBorder="1" applyAlignment="1">
      <alignment vertical="center"/>
    </xf>
    <xf numFmtId="168" fontId="4" fillId="0" borderId="8" xfId="8" applyBorder="1" applyAlignment="1">
      <alignment vertical="center"/>
    </xf>
    <xf numFmtId="170" fontId="13" fillId="0" borderId="8" xfId="28" applyBorder="1"/>
    <xf numFmtId="168" fontId="4" fillId="0" borderId="8" xfId="8" applyBorder="1"/>
    <xf numFmtId="179" fontId="4" fillId="0" borderId="8" xfId="13" applyBorder="1"/>
    <xf numFmtId="171" fontId="4" fillId="0" borderId="8" xfId="30" applyBorder="1"/>
    <xf numFmtId="168" fontId="13" fillId="0" borderId="8" xfId="7" applyBorder="1" applyAlignment="1">
      <alignment vertical="center"/>
    </xf>
    <xf numFmtId="170" fontId="13" fillId="0" borderId="8" xfId="28" applyBorder="1" applyAlignment="1">
      <alignment vertical="center"/>
    </xf>
    <xf numFmtId="168" fontId="13" fillId="0" borderId="8" xfId="7" applyBorder="1"/>
    <xf numFmtId="168" fontId="4" fillId="6" borderId="7" xfId="10" applyBorder="1"/>
    <xf numFmtId="168" fontId="4" fillId="0" borderId="7" xfId="8" applyBorder="1"/>
    <xf numFmtId="168" fontId="13" fillId="0" borderId="7" xfId="7" applyBorder="1"/>
    <xf numFmtId="14" fontId="0" fillId="0" borderId="2" xfId="0" applyNumberFormat="1" applyBorder="1"/>
    <xf numFmtId="179" fontId="4" fillId="6" borderId="7" xfId="15" applyBorder="1"/>
    <xf numFmtId="0" fontId="3" fillId="0" borderId="2" xfId="0" applyFont="1" applyBorder="1"/>
    <xf numFmtId="171" fontId="4" fillId="6" borderId="7" xfId="33" applyBorder="1"/>
    <xf numFmtId="170" fontId="4" fillId="6" borderId="8" xfId="32" applyBorder="1"/>
    <xf numFmtId="171" fontId="4" fillId="6" borderId="8" xfId="33" applyBorder="1"/>
    <xf numFmtId="168" fontId="4" fillId="6" borderId="8" xfId="10" applyBorder="1"/>
    <xf numFmtId="179" fontId="13" fillId="0" borderId="7" xfId="14" applyBorder="1"/>
    <xf numFmtId="171" fontId="4" fillId="0" borderId="7" xfId="30" applyBorder="1"/>
    <xf numFmtId="172" fontId="0" fillId="0" borderId="0" xfId="0" applyNumberFormat="1"/>
    <xf numFmtId="168" fontId="0" fillId="0" borderId="0" xfId="0" applyNumberFormat="1"/>
    <xf numFmtId="14" fontId="0" fillId="0" borderId="0" xfId="0" applyNumberFormat="1" applyAlignment="1">
      <alignment vertical="center"/>
    </xf>
    <xf numFmtId="170" fontId="4" fillId="6" borderId="1" xfId="32" applyAlignment="1">
      <alignment vertical="center"/>
    </xf>
    <xf numFmtId="168" fontId="4" fillId="6" borderId="1" xfId="10" applyAlignment="1">
      <alignment vertical="center"/>
    </xf>
    <xf numFmtId="179" fontId="1" fillId="4" borderId="1" xfId="1"/>
    <xf numFmtId="165" fontId="25" fillId="0" borderId="0" xfId="0" applyNumberFormat="1" applyFont="1" applyAlignment="1">
      <alignment vertical="center"/>
    </xf>
    <xf numFmtId="169" fontId="0" fillId="0" borderId="0" xfId="0" applyNumberFormat="1"/>
    <xf numFmtId="168" fontId="4" fillId="6" borderId="0" xfId="10" applyBorder="1"/>
    <xf numFmtId="165" fontId="3" fillId="0" borderId="0" xfId="0" applyNumberFormat="1" applyFont="1"/>
    <xf numFmtId="0" fontId="10" fillId="0" borderId="4" xfId="5" applyFill="1"/>
    <xf numFmtId="165" fontId="24" fillId="11" borderId="0" xfId="0" applyNumberFormat="1" applyFont="1" applyFill="1" applyAlignment="1">
      <alignment vertical="center"/>
    </xf>
    <xf numFmtId="0" fontId="0" fillId="11" borderId="0" xfId="0" applyFill="1"/>
    <xf numFmtId="0" fontId="0" fillId="11" borderId="2" xfId="0" applyFill="1" applyBorder="1" applyAlignment="1">
      <alignment vertical="center"/>
    </xf>
    <xf numFmtId="0" fontId="3" fillId="11" borderId="0" xfId="0" applyFont="1" applyFill="1"/>
    <xf numFmtId="14" fontId="0" fillId="11" borderId="0" xfId="0" applyNumberFormat="1" applyFill="1"/>
    <xf numFmtId="14" fontId="0" fillId="11" borderId="2" xfId="0" applyNumberFormat="1" applyFill="1" applyBorder="1"/>
    <xf numFmtId="0" fontId="0" fillId="11" borderId="2" xfId="0" applyFill="1" applyBorder="1"/>
    <xf numFmtId="165" fontId="16" fillId="11" borderId="0" xfId="0" applyNumberFormat="1" applyFont="1" applyFill="1" applyAlignment="1">
      <alignment vertical="center"/>
    </xf>
    <xf numFmtId="173" fontId="0" fillId="11" borderId="0" xfId="0" applyNumberFormat="1" applyFill="1"/>
    <xf numFmtId="0" fontId="26" fillId="11" borderId="0" xfId="0" applyFont="1" applyFill="1"/>
    <xf numFmtId="0" fontId="0" fillId="0" borderId="0" xfId="3" applyNumberFormat="1" applyFont="1"/>
    <xf numFmtId="10" fontId="0" fillId="0" borderId="0" xfId="3" applyNumberFormat="1" applyFont="1"/>
    <xf numFmtId="3" fontId="0" fillId="0" borderId="0" xfId="0" applyNumberFormat="1"/>
    <xf numFmtId="165" fontId="27" fillId="11" borderId="0" xfId="0" applyNumberFormat="1" applyFont="1" applyFill="1" applyAlignment="1">
      <alignment vertical="center"/>
    </xf>
    <xf numFmtId="0" fontId="4" fillId="11" borderId="0" xfId="0" applyFont="1" applyFill="1"/>
    <xf numFmtId="0" fontId="4" fillId="11" borderId="2" xfId="0" applyFont="1" applyFill="1" applyBorder="1" applyAlignment="1">
      <alignment vertical="center"/>
    </xf>
    <xf numFmtId="0" fontId="15" fillId="11" borderId="0" xfId="0" applyFont="1" applyFill="1"/>
    <xf numFmtId="14" fontId="4" fillId="11" borderId="0" xfId="0" applyNumberFormat="1" applyFont="1" applyFill="1"/>
    <xf numFmtId="14" fontId="4" fillId="11" borderId="2" xfId="0" applyNumberFormat="1" applyFont="1" applyFill="1" applyBorder="1"/>
    <xf numFmtId="170" fontId="4" fillId="0" borderId="9" xfId="29" applyBorder="1"/>
    <xf numFmtId="170" fontId="4" fillId="0" borderId="10" xfId="29" applyBorder="1"/>
    <xf numFmtId="170" fontId="4" fillId="0" borderId="11" xfId="29" applyBorder="1"/>
    <xf numFmtId="170" fontId="4" fillId="6" borderId="7" xfId="32" applyBorder="1"/>
    <xf numFmtId="168" fontId="14" fillId="0" borderId="7" xfId="11" applyBorder="1"/>
    <xf numFmtId="168" fontId="4" fillId="6" borderId="7" xfId="10" applyBorder="1" applyAlignment="1">
      <alignment vertical="center"/>
    </xf>
    <xf numFmtId="168" fontId="4" fillId="0" borderId="7" xfId="8" applyBorder="1" applyAlignment="1">
      <alignment vertical="center"/>
    </xf>
    <xf numFmtId="179" fontId="4" fillId="0" borderId="7" xfId="13" applyBorder="1"/>
    <xf numFmtId="168" fontId="4" fillId="6" borderId="8" xfId="10" applyBorder="1" applyAlignment="1">
      <alignment vertical="center"/>
    </xf>
    <xf numFmtId="168" fontId="4" fillId="6" borderId="2" xfId="10" applyBorder="1"/>
    <xf numFmtId="179" fontId="4" fillId="6" borderId="12" xfId="15" applyBorder="1"/>
    <xf numFmtId="168" fontId="13" fillId="0" borderId="12" xfId="7" applyBorder="1"/>
    <xf numFmtId="165" fontId="10" fillId="0" borderId="4" xfId="5" applyNumberFormat="1"/>
    <xf numFmtId="174" fontId="0" fillId="0" borderId="0" xfId="0" applyNumberFormat="1" applyAlignment="1">
      <alignment vertical="center"/>
    </xf>
    <xf numFmtId="174" fontId="0" fillId="0" borderId="0" xfId="0" applyNumberFormat="1"/>
    <xf numFmtId="174" fontId="13" fillId="0" borderId="1" xfId="7" applyNumberFormat="1"/>
    <xf numFmtId="174" fontId="0" fillId="11" borderId="0" xfId="0" applyNumberFormat="1" applyFill="1"/>
    <xf numFmtId="0" fontId="11" fillId="0" borderId="5" xfId="36" applyBorder="1"/>
    <xf numFmtId="0" fontId="11" fillId="0" borderId="0" xfId="36" applyBorder="1"/>
    <xf numFmtId="0" fontId="0" fillId="2" borderId="11" xfId="0" applyFill="1" applyBorder="1"/>
    <xf numFmtId="0" fontId="0" fillId="12" borderId="11" xfId="0" applyFill="1" applyBorder="1"/>
    <xf numFmtId="0" fontId="0" fillId="6" borderId="11" xfId="0" applyFill="1" applyBorder="1"/>
    <xf numFmtId="0" fontId="0" fillId="13" borderId="11" xfId="0" applyFill="1" applyBorder="1"/>
    <xf numFmtId="0" fontId="0" fillId="10" borderId="11" xfId="0" applyFill="1" applyBorder="1"/>
    <xf numFmtId="168" fontId="4" fillId="5" borderId="7" xfId="2" applyBorder="1" applyAlignment="1">
      <alignment vertical="center"/>
    </xf>
    <xf numFmtId="168" fontId="4" fillId="5" borderId="7" xfId="2" applyBorder="1"/>
    <xf numFmtId="168" fontId="1" fillId="4" borderId="7" xfId="9" applyBorder="1" applyAlignment="1">
      <alignment vertical="center"/>
    </xf>
    <xf numFmtId="179" fontId="4" fillId="5" borderId="7" xfId="12" applyBorder="1" applyAlignment="1">
      <alignment vertical="center"/>
    </xf>
    <xf numFmtId="179" fontId="1" fillId="4" borderId="7" xfId="1" applyBorder="1" applyAlignment="1">
      <alignment vertical="center"/>
    </xf>
    <xf numFmtId="179" fontId="4" fillId="5" borderId="7" xfId="12" applyBorder="1"/>
    <xf numFmtId="170" fontId="1" fillId="4" borderId="7" xfId="23" applyBorder="1" applyAlignment="1">
      <alignment vertical="center"/>
    </xf>
    <xf numFmtId="170" fontId="4" fillId="5" borderId="7" xfId="25" applyBorder="1"/>
    <xf numFmtId="171" fontId="1" fillId="4" borderId="7" xfId="26" applyBorder="1" applyAlignment="1">
      <alignment vertical="center"/>
    </xf>
    <xf numFmtId="170" fontId="1" fillId="4" borderId="7" xfId="23" applyBorder="1"/>
    <xf numFmtId="168" fontId="4" fillId="0" borderId="0" xfId="8" applyBorder="1"/>
    <xf numFmtId="170" fontId="4" fillId="0" borderId="7" xfId="29" applyBorder="1"/>
    <xf numFmtId="170" fontId="4" fillId="0" borderId="7" xfId="29" applyBorder="1" applyAlignment="1">
      <alignment vertical="center"/>
    </xf>
    <xf numFmtId="168" fontId="13" fillId="0" borderId="7" xfId="7" applyBorder="1" applyAlignment="1">
      <alignment vertical="center"/>
    </xf>
    <xf numFmtId="179" fontId="13" fillId="0" borderId="7" xfId="14" applyBorder="1" applyAlignment="1">
      <alignment vertical="center"/>
    </xf>
    <xf numFmtId="168" fontId="14" fillId="0" borderId="7" xfId="11" applyBorder="1" applyAlignment="1">
      <alignment vertical="center"/>
    </xf>
    <xf numFmtId="179" fontId="13" fillId="0" borderId="0" xfId="14" applyBorder="1" applyAlignment="1">
      <alignment vertical="center"/>
    </xf>
    <xf numFmtId="170" fontId="4" fillId="0" borderId="0" xfId="29" applyBorder="1" applyAlignment="1">
      <alignment vertical="center"/>
    </xf>
    <xf numFmtId="170" fontId="13" fillId="0" borderId="7" xfId="28" applyBorder="1" applyAlignment="1">
      <alignment vertical="center"/>
    </xf>
    <xf numFmtId="170" fontId="13" fillId="0" borderId="7" xfId="28" applyBorder="1"/>
    <xf numFmtId="179" fontId="4" fillId="0" borderId="7" xfId="13" applyBorder="1" applyAlignment="1">
      <alignment vertical="center"/>
    </xf>
    <xf numFmtId="171" fontId="13" fillId="0" borderId="7" xfId="35" applyBorder="1" applyAlignment="1">
      <alignment vertical="center"/>
    </xf>
    <xf numFmtId="171" fontId="4" fillId="0" borderId="7" xfId="30" applyBorder="1" applyAlignment="1">
      <alignment vertical="center"/>
    </xf>
    <xf numFmtId="179" fontId="4" fillId="5" borderId="13" xfId="12" applyBorder="1" applyAlignment="1">
      <alignment vertical="center"/>
    </xf>
    <xf numFmtId="168" fontId="4" fillId="0" borderId="13" xfId="8" applyBorder="1" applyAlignment="1">
      <alignment vertical="center"/>
    </xf>
    <xf numFmtId="179" fontId="13" fillId="0" borderId="13" xfId="14" applyBorder="1" applyAlignment="1">
      <alignment vertical="center"/>
    </xf>
    <xf numFmtId="168" fontId="4" fillId="5" borderId="12" xfId="2" applyBorder="1" applyAlignment="1">
      <alignment vertical="center"/>
    </xf>
    <xf numFmtId="168" fontId="1" fillId="4" borderId="8" xfId="9" applyBorder="1"/>
    <xf numFmtId="168" fontId="1" fillId="4" borderId="8" xfId="9" applyBorder="1" applyAlignment="1">
      <alignment vertical="center"/>
    </xf>
    <xf numFmtId="168" fontId="4" fillId="6" borderId="12" xfId="10" applyBorder="1"/>
    <xf numFmtId="170" fontId="4" fillId="0" borderId="8" xfId="29" applyBorder="1"/>
    <xf numFmtId="168" fontId="0" fillId="0" borderId="2" xfId="0" applyNumberFormat="1" applyBorder="1"/>
    <xf numFmtId="168" fontId="13" fillId="0" borderId="12" xfId="7" applyBorder="1" applyAlignment="1">
      <alignment vertical="center"/>
    </xf>
    <xf numFmtId="168" fontId="14" fillId="0" borderId="8" xfId="11" applyBorder="1" applyAlignment="1">
      <alignment vertical="center"/>
    </xf>
    <xf numFmtId="165" fontId="0" fillId="0" borderId="15" xfId="0" applyNumberFormat="1" applyBorder="1" applyAlignment="1">
      <alignment vertical="center"/>
    </xf>
    <xf numFmtId="165" fontId="0" fillId="0" borderId="16" xfId="0" applyNumberFormat="1" applyBorder="1" applyAlignment="1">
      <alignment vertical="center"/>
    </xf>
    <xf numFmtId="165" fontId="0" fillId="0" borderId="17" xfId="0" applyNumberFormat="1" applyBorder="1" applyAlignment="1">
      <alignment vertical="center"/>
    </xf>
    <xf numFmtId="179" fontId="4" fillId="5" borderId="18" xfId="12" applyBorder="1" applyAlignment="1">
      <alignment vertical="center"/>
    </xf>
    <xf numFmtId="179" fontId="4" fillId="5" borderId="19" xfId="12" applyBorder="1" applyAlignment="1">
      <alignment vertical="center"/>
    </xf>
    <xf numFmtId="179" fontId="4" fillId="5" borderId="20" xfId="12" applyBorder="1" applyAlignment="1">
      <alignment vertical="center"/>
    </xf>
    <xf numFmtId="165" fontId="0" fillId="0" borderId="21" xfId="0" applyNumberFormat="1" applyBorder="1" applyAlignment="1">
      <alignment vertical="center"/>
    </xf>
    <xf numFmtId="165" fontId="0" fillId="0" borderId="22" xfId="0" applyNumberFormat="1" applyBorder="1" applyAlignment="1">
      <alignment vertical="center"/>
    </xf>
    <xf numFmtId="165" fontId="0" fillId="0" borderId="23" xfId="0" applyNumberFormat="1" applyBorder="1" applyAlignment="1">
      <alignment vertical="center"/>
    </xf>
    <xf numFmtId="179" fontId="4" fillId="5" borderId="24" xfId="12" applyBorder="1" applyAlignment="1">
      <alignment vertical="center"/>
    </xf>
    <xf numFmtId="179" fontId="4" fillId="5" borderId="25" xfId="12" applyBorder="1" applyAlignment="1">
      <alignment vertical="center"/>
    </xf>
    <xf numFmtId="179" fontId="4" fillId="5" borderId="26" xfId="12" applyBorder="1" applyAlignment="1">
      <alignment vertical="center"/>
    </xf>
    <xf numFmtId="179" fontId="1" fillId="4" borderId="14" xfId="1" applyBorder="1" applyAlignment="1">
      <alignment vertical="center"/>
    </xf>
    <xf numFmtId="179" fontId="1" fillId="4" borderId="10" xfId="1" applyBorder="1" applyAlignment="1">
      <alignment vertical="center"/>
    </xf>
    <xf numFmtId="179" fontId="1" fillId="4" borderId="18" xfId="1" applyBorder="1" applyAlignment="1">
      <alignment vertical="center"/>
    </xf>
    <xf numFmtId="179" fontId="1" fillId="4" borderId="19" xfId="1" applyBorder="1" applyAlignment="1">
      <alignment vertical="center"/>
    </xf>
    <xf numFmtId="179" fontId="1" fillId="4" borderId="20" xfId="1" applyBorder="1" applyAlignment="1">
      <alignment vertical="center"/>
    </xf>
    <xf numFmtId="165" fontId="0" fillId="0" borderId="27" xfId="0" applyNumberFormat="1" applyBorder="1" applyAlignment="1">
      <alignment vertical="center"/>
    </xf>
    <xf numFmtId="179" fontId="1" fillId="4" borderId="13" xfId="1" applyBorder="1" applyAlignment="1">
      <alignment vertical="center"/>
    </xf>
    <xf numFmtId="179" fontId="1" fillId="4" borderId="24" xfId="1" applyBorder="1" applyAlignment="1">
      <alignment vertical="center"/>
    </xf>
    <xf numFmtId="179" fontId="1" fillId="4" borderId="25" xfId="1" applyBorder="1" applyAlignment="1">
      <alignment vertical="center"/>
    </xf>
    <xf numFmtId="179" fontId="1" fillId="4" borderId="26" xfId="1" applyBorder="1" applyAlignment="1">
      <alignment vertical="center"/>
    </xf>
    <xf numFmtId="179" fontId="1" fillId="4" borderId="28" xfId="1" applyBorder="1" applyAlignment="1">
      <alignment vertical="center"/>
    </xf>
    <xf numFmtId="179" fontId="1" fillId="4" borderId="9" xfId="1" applyBorder="1" applyAlignment="1">
      <alignment vertical="center"/>
    </xf>
    <xf numFmtId="179" fontId="1" fillId="4" borderId="29" xfId="1" applyBorder="1" applyAlignment="1">
      <alignment vertical="center"/>
    </xf>
    <xf numFmtId="179" fontId="1" fillId="4" borderId="30" xfId="1" applyBorder="1" applyAlignment="1">
      <alignment vertical="center"/>
    </xf>
    <xf numFmtId="174" fontId="0" fillId="0" borderId="16" xfId="0" applyNumberFormat="1" applyBorder="1" applyAlignment="1">
      <alignment vertical="center"/>
    </xf>
    <xf numFmtId="179" fontId="13" fillId="0" borderId="18" xfId="14" applyBorder="1" applyAlignment="1">
      <alignment vertical="center"/>
    </xf>
    <xf numFmtId="179" fontId="13" fillId="0" borderId="19" xfId="14" applyBorder="1" applyAlignment="1">
      <alignment vertical="center"/>
    </xf>
    <xf numFmtId="179" fontId="13" fillId="0" borderId="20" xfId="14" applyBorder="1" applyAlignment="1">
      <alignment vertical="center"/>
    </xf>
    <xf numFmtId="174" fontId="0" fillId="0" borderId="22" xfId="0" applyNumberFormat="1" applyBorder="1" applyAlignment="1">
      <alignment vertical="center"/>
    </xf>
    <xf numFmtId="179" fontId="13" fillId="0" borderId="24" xfId="14" applyBorder="1" applyAlignment="1">
      <alignment vertical="center"/>
    </xf>
    <xf numFmtId="179" fontId="13" fillId="0" borderId="25" xfId="14" applyBorder="1" applyAlignment="1">
      <alignment vertical="center"/>
    </xf>
    <xf numFmtId="179" fontId="13" fillId="0" borderId="26" xfId="14" applyBorder="1" applyAlignment="1">
      <alignment vertical="center"/>
    </xf>
    <xf numFmtId="168" fontId="4" fillId="0" borderId="18" xfId="8" applyBorder="1" applyAlignment="1">
      <alignment vertical="center"/>
    </xf>
    <xf numFmtId="168" fontId="4" fillId="0" borderId="19" xfId="8" applyBorder="1" applyAlignment="1">
      <alignment vertical="center"/>
    </xf>
    <xf numFmtId="168" fontId="4" fillId="0" borderId="20" xfId="8" applyBorder="1" applyAlignment="1">
      <alignment vertical="center"/>
    </xf>
    <xf numFmtId="168" fontId="4" fillId="0" borderId="24" xfId="8" applyBorder="1" applyAlignment="1">
      <alignment vertical="center"/>
    </xf>
    <xf numFmtId="168" fontId="4" fillId="0" borderId="25" xfId="8" applyBorder="1" applyAlignment="1">
      <alignment vertical="center"/>
    </xf>
    <xf numFmtId="168" fontId="4" fillId="0" borderId="26" xfId="8" applyBorder="1" applyAlignment="1">
      <alignment vertical="center"/>
    </xf>
    <xf numFmtId="179" fontId="4" fillId="0" borderId="18" xfId="13" applyBorder="1" applyAlignment="1">
      <alignment vertical="center"/>
    </xf>
    <xf numFmtId="179" fontId="4" fillId="0" borderId="19" xfId="13" applyBorder="1" applyAlignment="1">
      <alignment vertical="center"/>
    </xf>
    <xf numFmtId="179" fontId="4" fillId="0" borderId="20" xfId="13" applyBorder="1" applyAlignment="1">
      <alignment vertical="center"/>
    </xf>
    <xf numFmtId="179" fontId="4" fillId="0" borderId="24" xfId="13" applyBorder="1" applyAlignment="1">
      <alignment vertical="center"/>
    </xf>
    <xf numFmtId="179" fontId="4" fillId="0" borderId="25" xfId="13" applyBorder="1" applyAlignment="1">
      <alignment vertical="center"/>
    </xf>
    <xf numFmtId="179" fontId="4" fillId="0" borderId="26" xfId="13" applyBorder="1" applyAlignment="1">
      <alignment vertical="center"/>
    </xf>
    <xf numFmtId="175" fontId="0" fillId="0" borderId="0" xfId="0" applyNumberFormat="1"/>
    <xf numFmtId="176" fontId="0" fillId="0" borderId="0" xfId="0" applyNumberFormat="1"/>
    <xf numFmtId="177" fontId="13" fillId="0" borderId="7" xfId="14" applyNumberFormat="1" applyBorder="1"/>
    <xf numFmtId="177" fontId="13" fillId="0" borderId="1" xfId="14" applyNumberFormat="1"/>
    <xf numFmtId="165" fontId="28" fillId="0" borderId="0" xfId="0" applyNumberFormat="1" applyFont="1" applyAlignment="1">
      <alignment vertical="center"/>
    </xf>
    <xf numFmtId="178" fontId="0" fillId="0" borderId="0" xfId="0" applyNumberFormat="1"/>
    <xf numFmtId="14" fontId="4" fillId="5" borderId="1" xfId="2" applyNumberFormat="1"/>
    <xf numFmtId="174" fontId="4" fillId="0" borderId="0" xfId="0" applyNumberFormat="1" applyFont="1" applyAlignment="1">
      <alignment vertical="center"/>
    </xf>
    <xf numFmtId="174" fontId="4" fillId="0" borderId="0" xfId="0" applyNumberFormat="1" applyFont="1"/>
    <xf numFmtId="179" fontId="4" fillId="5" borderId="9" xfId="12" applyBorder="1" applyAlignment="1">
      <alignment vertical="center"/>
    </xf>
    <xf numFmtId="179" fontId="4" fillId="5" borderId="29" xfId="12" applyBorder="1" applyAlignment="1">
      <alignment vertical="center"/>
    </xf>
    <xf numFmtId="179" fontId="4" fillId="5" borderId="10" xfId="12" applyBorder="1" applyAlignment="1">
      <alignment vertical="center"/>
    </xf>
    <xf numFmtId="179" fontId="4" fillId="5" borderId="30" xfId="12" applyBorder="1" applyAlignment="1">
      <alignment vertical="center"/>
    </xf>
    <xf numFmtId="179" fontId="4" fillId="5" borderId="14" xfId="12" applyBorder="1" applyAlignment="1">
      <alignment vertical="center"/>
    </xf>
    <xf numFmtId="179" fontId="4" fillId="5" borderId="28" xfId="12" applyBorder="1" applyAlignment="1">
      <alignment vertical="center"/>
    </xf>
    <xf numFmtId="170" fontId="4" fillId="0" borderId="14" xfId="29" applyBorder="1"/>
    <xf numFmtId="170" fontId="4" fillId="0" borderId="31" xfId="29" applyBorder="1"/>
    <xf numFmtId="0" fontId="35" fillId="0" borderId="0" xfId="0" applyFont="1"/>
    <xf numFmtId="168" fontId="4" fillId="5" borderId="8" xfId="2" applyBorder="1"/>
  </cellXfs>
  <cellStyles count="37">
    <cellStyle name="Comma 2" xfId="20" xr:uid="{C23CC29B-F10B-4AEF-959D-D4A0D390954C}"/>
    <cellStyle name="Comment" xfId="18" xr:uid="{01B9628E-B68F-4B2E-86AF-83B0DF1F0E74}"/>
    <cellStyle name="Heading 1" xfId="4" builtinId="16"/>
    <cellStyle name="Heading 2" xfId="5" builtinId="17"/>
    <cellStyle name="Heading 3" xfId="6" builtinId="18"/>
    <cellStyle name="Heading 4" xfId="36" builtinId="19"/>
    <cellStyle name="Level 1" xfId="21" xr:uid="{A21A6EF9-9D21-4A09-885C-2A85681A7CA1}"/>
    <cellStyle name="Level 2" xfId="17" xr:uid="{5EBD6803-3208-4442-816A-C22A38A09DC4}"/>
    <cellStyle name="Level 3" xfId="22" xr:uid="{BBF21192-8FEE-41F5-B65D-A4ADD2443543}"/>
    <cellStyle name="Normal" xfId="0" builtinId="0"/>
    <cellStyle name="Normal 2" xfId="16" xr:uid="{545CD6D8-3A5F-400D-AFE1-61B8D01DC90F}"/>
    <cellStyle name="PCFM%%VariableInput" xfId="12" xr:uid="{0592CB91-9500-45E7-BA48-C9DA30CCDB0D}"/>
    <cellStyle name="PCFM_%%Calculation" xfId="13" xr:uid="{AFC866B7-AB5D-44EA-A5BB-0D3D38FE2E3C}"/>
    <cellStyle name="PCFM_%%FixedInput" xfId="1" xr:uid="{FA46B265-53C9-4E1B-A1EC-F0A7804651E3}"/>
    <cellStyle name="PCFM_%%Import" xfId="15" xr:uid="{045C4CAF-8C28-411C-A14C-E3A615B277B4}"/>
    <cellStyle name="PCFM_%%Link" xfId="14" xr:uid="{E75EE3A3-228E-4007-8ECE-782A6646E1A8}"/>
    <cellStyle name="PCFM_0dp_Calculation" xfId="29" xr:uid="{D47957AA-DE09-497F-AC91-1D943DB054DC}"/>
    <cellStyle name="PCFM_0dp_FixedInput" xfId="23" xr:uid="{97596D16-0C99-4824-B656-B3634F08E4E1}"/>
    <cellStyle name="PCFM_0dp_Import" xfId="32" xr:uid="{6A66149E-01E7-4A29-BCA1-C802029EF87A}"/>
    <cellStyle name="PCFM_0dp_Link" xfId="28" xr:uid="{B6399430-9604-4541-8BA6-795981219693}"/>
    <cellStyle name="PCFM_0dp_VariableInput" xfId="25" xr:uid="{FE7680B9-74B4-4FF1-ACF4-357087D6E474}"/>
    <cellStyle name="PCFM_Calculation" xfId="8" xr:uid="{9BA05B19-6EFE-40C8-8AD3-3CF5D18D1F8D}"/>
    <cellStyle name="PCFM_FixedInput" xfId="9" xr:uid="{B6EF99ED-E917-4F6C-B8EF-F46646A66E7C}"/>
    <cellStyle name="PCFM_Import2" xfId="10" xr:uid="{17945819-0BE9-4264-85E3-AD91A51B3772}"/>
    <cellStyle name="PCFM_Link" xfId="7" xr:uid="{AC8A85FE-6865-4CC1-902A-E6D7F2FC4BBD}"/>
    <cellStyle name="PCFM_Sc_Calculation" xfId="30" xr:uid="{FF58FD22-591E-41D4-A8AA-86AAF7A0CBF4}"/>
    <cellStyle name="PCFM_Sc_FixedInput" xfId="26" xr:uid="{3220AFE2-FBC1-466D-90E3-0352F2E8DC89}"/>
    <cellStyle name="PCFM_Sc_Import" xfId="33" xr:uid="{2783980A-2100-4304-AAB3-483556EEBFEB}"/>
    <cellStyle name="PCFM_Sc_Link" xfId="35" xr:uid="{65B6957B-87CA-43A3-8F3A-EAB1C2C88233}"/>
    <cellStyle name="PCFM_Total" xfId="11" xr:uid="{A0D0E078-B745-4150-98B0-5331ED2528FB}"/>
    <cellStyle name="PCFM_VariableInput" xfId="2" xr:uid="{B3E4DEB5-E438-4BC2-AA60-5AA1EBEB894A}"/>
    <cellStyle name="PCFM_Y_Calculation" xfId="31" xr:uid="{91B22787-F809-4E8B-9FD7-BE896DCE3C1F}"/>
    <cellStyle name="PCFM_Y_FixedInput" xfId="24" xr:uid="{2AE40A1E-8420-4B52-88CF-7DD3DE55EB48}"/>
    <cellStyle name="PCFM_Y_Import" xfId="34" xr:uid="{7A004A24-8A61-483F-9E9F-F85754A024C5}"/>
    <cellStyle name="PCFM_Y_Link" xfId="27" xr:uid="{C38A26D8-1768-4747-B1B1-2DEEE7A653DC}"/>
    <cellStyle name="Percent" xfId="3" builtinId="5"/>
    <cellStyle name="Percent 2" xfId="19" xr:uid="{2737824C-5CB2-4AE2-8004-50032605906C}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9900"/>
      <color rgb="FFE9D2C6"/>
      <color rgb="FFF7F0CA"/>
      <color rgb="FF7FB5BA"/>
      <color rgb="FFFDCA90"/>
      <color rgb="FFBAA0CC"/>
      <color rgb="FFFFFFCC"/>
      <color rgb="FF85ABD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549275</xdr:colOff>
      <xdr:row>4</xdr:row>
      <xdr:rowOff>7428</xdr:rowOff>
    </xdr:to>
    <xdr:pic>
      <xdr:nvPicPr>
        <xdr:cNvPr id="4" name="Picture 3" descr="image of the Ofgem logo" title="Ofgem logo">
          <a:extLst>
            <a:ext uri="{FF2B5EF4-FFF2-40B4-BE49-F238E27FC236}">
              <a16:creationId xmlns:a16="http://schemas.microsoft.com/office/drawing/2014/main" id="{61281DA7-94E9-4AF0-8DED-94387BDB89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063875" cy="7662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4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B19FD16B-6310-45C2-B3CE-23B519015E86}">
  <we:reference id="WA200003693" version="1.0.4.0" store="Omex" storeType="OMEX"/>
  <we:alternateReferences>
    <we:reference id="WA200003693" version="1.0.4.0" store="WA200003693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25F20-D1EA-4A10-AB39-9AAB3B86C7F8}">
  <sheetPr codeName="Sheet4">
    <tabColor rgb="FFFF9900"/>
    <pageSetUpPr autoPageBreaks="0"/>
  </sheetPr>
  <dimension ref="A1:Q57"/>
  <sheetViews>
    <sheetView workbookViewId="0">
      <selection activeCell="D12" sqref="D12"/>
    </sheetView>
  </sheetViews>
  <sheetFormatPr defaultColWidth="0" defaultRowHeight="14.5" zeroHeight="1"/>
  <cols>
    <col min="1" max="3" width="1.81640625" customWidth="1"/>
    <col min="4" max="4" width="21" bestFit="1" customWidth="1"/>
    <col min="5" max="5" width="2" customWidth="1"/>
    <col min="6" max="13" width="9.08984375" customWidth="1"/>
    <col min="14" max="17" width="0" hidden="1" customWidth="1"/>
    <col min="18" max="16384" width="9.08984375" hidden="1"/>
  </cols>
  <sheetData>
    <row r="1" spans="1:6"/>
    <row r="2" spans="1:6"/>
    <row r="3" spans="1:6"/>
    <row r="4" spans="1:6"/>
    <row r="5" spans="1:6"/>
    <row r="6" spans="1:6" ht="20" thickBot="1">
      <c r="A6" s="15" t="s">
        <v>401</v>
      </c>
    </row>
    <row r="7" spans="1:6" ht="18" thickTop="1" thickBot="1">
      <c r="B7" s="17" t="s">
        <v>423</v>
      </c>
    </row>
    <row r="8" spans="1:6" ht="15.5" thickTop="1" thickBot="1">
      <c r="C8" s="154" t="s">
        <v>750</v>
      </c>
    </row>
    <row r="9" spans="1:6">
      <c r="D9" t="str">
        <f ca="1">MID(CELL("filename"),SEARCH("[",CELL("filename"))+1,SEARCH("]",CELL("filename"))-SEARCH("[",CELL("filename"))-1)</f>
        <v>GT3 PCFM NGT 2026-27 Allowed Revenue 20260528.xlsx</v>
      </c>
    </row>
    <row r="10" spans="1:6"/>
    <row r="11" spans="1:6" ht="15" thickBot="1">
      <c r="C11" s="154" t="s">
        <v>810</v>
      </c>
    </row>
    <row r="12" spans="1:6">
      <c r="D12" s="247">
        <v>46170</v>
      </c>
    </row>
    <row r="13" spans="1:6">
      <c r="D13" s="155"/>
    </row>
    <row r="14" spans="1:6" ht="17.5" thickBot="1">
      <c r="B14" s="17" t="s">
        <v>402</v>
      </c>
    </row>
    <row r="15" spans="1:6" ht="15" thickTop="1">
      <c r="D15" s="37" t="s">
        <v>403</v>
      </c>
      <c r="F15" s="1" t="s">
        <v>404</v>
      </c>
    </row>
    <row r="16" spans="1:6">
      <c r="D16" s="42" t="s">
        <v>403</v>
      </c>
      <c r="F16" s="1" t="s">
        <v>405</v>
      </c>
    </row>
    <row r="17" spans="2:6">
      <c r="D17" s="69" t="s">
        <v>403</v>
      </c>
      <c r="F17" s="1" t="s">
        <v>406</v>
      </c>
    </row>
    <row r="18" spans="2:6">
      <c r="D18" s="38" t="s">
        <v>403</v>
      </c>
      <c r="F18" s="1" t="s">
        <v>407</v>
      </c>
    </row>
    <row r="19" spans="2:6">
      <c r="D19" s="61" t="s">
        <v>403</v>
      </c>
      <c r="F19" s="1" t="s">
        <v>408</v>
      </c>
    </row>
    <row r="20" spans="2:6">
      <c r="D20" s="65" t="s">
        <v>403</v>
      </c>
      <c r="F20" s="1" t="s">
        <v>112</v>
      </c>
    </row>
    <row r="21" spans="2:6">
      <c r="F21" s="1"/>
    </row>
    <row r="22" spans="2:6" ht="17.5" thickBot="1">
      <c r="B22" s="17" t="s">
        <v>409</v>
      </c>
      <c r="F22" s="1"/>
    </row>
    <row r="23" spans="2:6" ht="15.5" thickTop="1" thickBot="1">
      <c r="C23" s="14" t="s">
        <v>751</v>
      </c>
      <c r="F23" s="1"/>
    </row>
    <row r="24" spans="2:6">
      <c r="D24" s="156" t="s">
        <v>410</v>
      </c>
      <c r="F24" s="1" t="s">
        <v>411</v>
      </c>
    </row>
    <row r="25" spans="2:6">
      <c r="D25" s="156" t="s">
        <v>752</v>
      </c>
      <c r="F25" s="1" t="s">
        <v>753</v>
      </c>
    </row>
    <row r="26" spans="2:6">
      <c r="F26" s="1"/>
    </row>
    <row r="27" spans="2:6" ht="15" thickBot="1">
      <c r="C27" s="14" t="s">
        <v>754</v>
      </c>
      <c r="F27" s="1"/>
    </row>
    <row r="28" spans="2:6">
      <c r="D28" s="157" t="s">
        <v>498</v>
      </c>
      <c r="F28" s="1" t="s">
        <v>766</v>
      </c>
    </row>
    <row r="29" spans="2:6">
      <c r="D29" s="157" t="s">
        <v>503</v>
      </c>
      <c r="F29" s="1" t="s">
        <v>765</v>
      </c>
    </row>
    <row r="30" spans="2:6">
      <c r="D30" s="157" t="s">
        <v>502</v>
      </c>
      <c r="F30" s="1" t="s">
        <v>767</v>
      </c>
    </row>
    <row r="31" spans="2:6">
      <c r="F31" s="1"/>
    </row>
    <row r="32" spans="2:6" ht="15" thickBot="1">
      <c r="C32" s="14" t="s">
        <v>408</v>
      </c>
      <c r="F32" s="1"/>
    </row>
    <row r="33" spans="3:6">
      <c r="D33" s="158" t="s">
        <v>147</v>
      </c>
      <c r="F33" s="1" t="s">
        <v>413</v>
      </c>
    </row>
    <row r="34" spans="3:6">
      <c r="D34" s="158" t="s">
        <v>60</v>
      </c>
      <c r="F34" s="1" t="s">
        <v>414</v>
      </c>
    </row>
    <row r="35" spans="3:6">
      <c r="D35" s="158" t="s">
        <v>154</v>
      </c>
      <c r="F35" s="1" t="s">
        <v>755</v>
      </c>
    </row>
    <row r="36" spans="3:6">
      <c r="D36" s="158" t="s">
        <v>415</v>
      </c>
      <c r="F36" s="1" t="s">
        <v>756</v>
      </c>
    </row>
    <row r="37" spans="3:6">
      <c r="D37" s="158" t="s">
        <v>309</v>
      </c>
      <c r="F37" s="1" t="s">
        <v>757</v>
      </c>
    </row>
    <row r="38" spans="3:6">
      <c r="D38" s="158" t="s">
        <v>297</v>
      </c>
      <c r="F38" s="1" t="s">
        <v>416</v>
      </c>
    </row>
    <row r="39" spans="3:6">
      <c r="D39" s="158" t="s">
        <v>95</v>
      </c>
      <c r="F39" s="1" t="s">
        <v>417</v>
      </c>
    </row>
    <row r="40" spans="3:6">
      <c r="D40" s="158" t="s">
        <v>277</v>
      </c>
      <c r="F40" s="1" t="s">
        <v>758</v>
      </c>
    </row>
    <row r="41" spans="3:6">
      <c r="D41" s="158" t="s">
        <v>604</v>
      </c>
      <c r="F41" s="1" t="s">
        <v>768</v>
      </c>
    </row>
    <row r="42" spans="3:6">
      <c r="D42" s="158" t="s">
        <v>759</v>
      </c>
      <c r="F42" s="1" t="s">
        <v>760</v>
      </c>
    </row>
    <row r="43" spans="3:6">
      <c r="D43" s="158" t="s">
        <v>504</v>
      </c>
      <c r="F43" s="1" t="s">
        <v>418</v>
      </c>
    </row>
    <row r="44" spans="3:6">
      <c r="D44" s="158" t="s">
        <v>505</v>
      </c>
      <c r="F44" s="1" t="s">
        <v>419</v>
      </c>
    </row>
    <row r="45" spans="3:6">
      <c r="D45" s="158" t="s">
        <v>518</v>
      </c>
      <c r="F45" s="1" t="s">
        <v>770</v>
      </c>
    </row>
    <row r="46" spans="3:6">
      <c r="D46" s="158" t="s">
        <v>518</v>
      </c>
      <c r="F46" s="1" t="s">
        <v>769</v>
      </c>
    </row>
    <row r="47" spans="3:6">
      <c r="F47" s="1"/>
    </row>
    <row r="48" spans="3:6" ht="15" thickBot="1">
      <c r="C48" s="14" t="s">
        <v>761</v>
      </c>
      <c r="F48" s="1"/>
    </row>
    <row r="49" spans="1:6">
      <c r="D49" s="159" t="s">
        <v>125</v>
      </c>
      <c r="F49" s="1" t="s">
        <v>412</v>
      </c>
    </row>
    <row r="50" spans="1:6">
      <c r="F50" s="1"/>
    </row>
    <row r="51" spans="1:6" ht="15" thickBot="1">
      <c r="C51" s="14" t="s">
        <v>762</v>
      </c>
      <c r="F51" s="1"/>
    </row>
    <row r="52" spans="1:6">
      <c r="D52" s="160" t="s">
        <v>499</v>
      </c>
      <c r="F52" s="1" t="s">
        <v>763</v>
      </c>
    </row>
    <row r="53" spans="1:6">
      <c r="D53" s="160" t="s">
        <v>501</v>
      </c>
      <c r="F53" s="1" t="s">
        <v>764</v>
      </c>
    </row>
    <row r="54" spans="1:6"/>
    <row r="55" spans="1:6" ht="20" thickBot="1">
      <c r="A55" s="15" t="s">
        <v>241</v>
      </c>
    </row>
    <row r="56" spans="1:6" ht="15" thickTop="1"/>
    <row r="57" spans="1:6"/>
  </sheetData>
  <pageMargins left="0.7" right="0.7" top="0.75" bottom="0.75" header="0.3" footer="0.3"/>
  <pageSetup paperSize="9" orientation="portrait" r:id="rId1"/>
  <headerFooter>
    <oddFooter>&amp;L_x000D_&amp;1#&amp;"Aptos"&amp;10&amp;K000000 National Gas | Business Use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1F90F-961B-41F8-948D-A7294F5A021A}">
  <sheetPr codeName="Sheet7">
    <tabColor rgb="FFBAA0CC"/>
    <pageSetUpPr autoPageBreaks="0"/>
  </sheetPr>
  <dimension ref="A1:BF74"/>
  <sheetViews>
    <sheetView zoomScaleNormal="100" workbookViewId="0">
      <pane xSplit="10" ySplit="4" topLeftCell="AA5" activePane="bottomRight" state="frozen"/>
      <selection pane="topRight" activeCell="K1" sqref="K1"/>
      <selection pane="bottomLeft" activeCell="A5" sqref="A5"/>
      <selection pane="bottomRight"/>
    </sheetView>
  </sheetViews>
  <sheetFormatPr defaultColWidth="0" defaultRowHeight="16" zeroHeight="1" outlineLevelRow="1" outlineLevelCol="1"/>
  <cols>
    <col min="1" max="3" width="1.81640625" customWidth="1"/>
    <col min="4" max="4" width="15.7265625" customWidth="1"/>
    <col min="5" max="5" width="77.26953125" customWidth="1"/>
    <col min="6" max="6" width="8.7265625" customWidth="1"/>
    <col min="7" max="7" width="17.7265625" customWidth="1"/>
    <col min="8" max="8" width="9.7265625" customWidth="1"/>
    <col min="9" max="9" width="11.7265625" customWidth="1"/>
    <col min="10" max="10" width="2.08984375" customWidth="1"/>
    <col min="11" max="45" width="11.7265625" hidden="1" customWidth="1" outlineLevel="1"/>
    <col min="46" max="46" width="11.7265625" style="77" customWidth="1" collapsed="1"/>
    <col min="47" max="52" width="11.7265625" customWidth="1"/>
    <col min="53" max="56" width="10.7265625" style="1" customWidth="1"/>
    <col min="57" max="57" width="10.7265625" customWidth="1"/>
    <col min="58" max="58" width="1.7265625" style="8" customWidth="1"/>
  </cols>
  <sheetData>
    <row r="1" spans="1:56" s="119" customFormat="1" ht="14.5">
      <c r="A1" s="118" t="str" cm="1">
        <f t="array" aca="1" ref="A1" ca="1">MID(CELL("filename",$A$1),FIND("]",CELL("filename",$A$1))+1,255)</f>
        <v>Return&amp;RAV</v>
      </c>
      <c r="G1" s="119" t="s">
        <v>515</v>
      </c>
      <c r="H1" s="38" t="str">
        <f ca="1">Checks!I7</f>
        <v>ERROR</v>
      </c>
      <c r="AT1" s="124"/>
    </row>
    <row r="2" spans="1:56" s="119" customFormat="1" ht="14.5">
      <c r="AT2" s="124"/>
    </row>
    <row r="3" spans="1:56" s="119" customFormat="1" ht="14.5">
      <c r="I3" s="119" t="str">
        <f>NGT_TO!I3</f>
        <v>Constant</v>
      </c>
      <c r="AT3" s="124"/>
      <c r="AU3" s="122" t="str">
        <f>NGT_TO!AU3</f>
        <v>Annual values</v>
      </c>
    </row>
    <row r="4" spans="1:56" s="119" customFormat="1" ht="14.5">
      <c r="D4" s="121" t="s">
        <v>421</v>
      </c>
      <c r="E4" s="119" t="s">
        <v>6</v>
      </c>
      <c r="K4" s="122">
        <f>NGT_TO!K4</f>
        <v>33328</v>
      </c>
      <c r="L4" s="122">
        <f>NGT_TO!L4</f>
        <v>33694</v>
      </c>
      <c r="M4" s="122">
        <f>NGT_TO!M4</f>
        <v>34059</v>
      </c>
      <c r="N4" s="122">
        <f>NGT_TO!N4</f>
        <v>34424</v>
      </c>
      <c r="O4" s="122">
        <f>NGT_TO!O4</f>
        <v>34789</v>
      </c>
      <c r="P4" s="122">
        <f>NGT_TO!P4</f>
        <v>35155</v>
      </c>
      <c r="Q4" s="122">
        <f>NGT_TO!Q4</f>
        <v>35520</v>
      </c>
      <c r="R4" s="122">
        <f>NGT_TO!R4</f>
        <v>35885</v>
      </c>
      <c r="S4" s="122">
        <f>NGT_TO!S4</f>
        <v>36250</v>
      </c>
      <c r="T4" s="122">
        <f>NGT_TO!T4</f>
        <v>36616</v>
      </c>
      <c r="U4" s="122">
        <f>NGT_TO!U4</f>
        <v>36981</v>
      </c>
      <c r="V4" s="122">
        <f>NGT_TO!V4</f>
        <v>37346</v>
      </c>
      <c r="W4" s="122">
        <f>NGT_TO!W4</f>
        <v>37711</v>
      </c>
      <c r="X4" s="122">
        <f>NGT_TO!X4</f>
        <v>38077</v>
      </c>
      <c r="Y4" s="122">
        <f>NGT_TO!Y4</f>
        <v>38442</v>
      </c>
      <c r="Z4" s="122">
        <f>NGT_TO!Z4</f>
        <v>38807</v>
      </c>
      <c r="AA4" s="122">
        <f>NGT_TO!AA4</f>
        <v>39172</v>
      </c>
      <c r="AB4" s="122">
        <f>NGT_TO!AB4</f>
        <v>39538</v>
      </c>
      <c r="AC4" s="122">
        <f>NGT_TO!AC4</f>
        <v>39903</v>
      </c>
      <c r="AD4" s="122">
        <f>NGT_TO!AD4</f>
        <v>40268</v>
      </c>
      <c r="AE4" s="122">
        <f>NGT_TO!AE4</f>
        <v>40633</v>
      </c>
      <c r="AF4" s="122">
        <f>NGT_TO!AF4</f>
        <v>40999</v>
      </c>
      <c r="AG4" s="122">
        <f>NGT_TO!AG4</f>
        <v>41364</v>
      </c>
      <c r="AH4" s="122">
        <f>NGT_TO!AH4</f>
        <v>41729</v>
      </c>
      <c r="AI4" s="122">
        <f>NGT_TO!AI4</f>
        <v>42094</v>
      </c>
      <c r="AJ4" s="122">
        <f>NGT_TO!AJ4</f>
        <v>42460</v>
      </c>
      <c r="AK4" s="122">
        <f>NGT_TO!AK4</f>
        <v>42825</v>
      </c>
      <c r="AL4" s="122">
        <f>NGT_TO!AL4</f>
        <v>43190</v>
      </c>
      <c r="AM4" s="122">
        <f>NGT_TO!AM4</f>
        <v>43555</v>
      </c>
      <c r="AN4" s="122">
        <f>NGT_TO!AN4</f>
        <v>43921</v>
      </c>
      <c r="AO4" s="122">
        <f>NGT_TO!AO4</f>
        <v>44286</v>
      </c>
      <c r="AP4" s="122">
        <f>NGT_TO!AP4</f>
        <v>44651</v>
      </c>
      <c r="AQ4" s="122">
        <f>NGT_TO!AQ4</f>
        <v>45016</v>
      </c>
      <c r="AR4" s="122">
        <f>NGT_TO!AR4</f>
        <v>45382</v>
      </c>
      <c r="AS4" s="122">
        <f>NGT_TO!AS4</f>
        <v>45747</v>
      </c>
      <c r="AT4" s="123">
        <f>NGT_TO!AT4</f>
        <v>46112</v>
      </c>
      <c r="AU4" s="122">
        <f>NGT_TO!AU4</f>
        <v>46477</v>
      </c>
      <c r="AV4" s="122">
        <f>NGT_TO!AV4</f>
        <v>46843</v>
      </c>
      <c r="AW4" s="122">
        <f>NGT_TO!AW4</f>
        <v>47208</v>
      </c>
      <c r="AX4" s="122">
        <f>NGT_TO!AX4</f>
        <v>47573</v>
      </c>
      <c r="AY4" s="122">
        <f>NGT_TO!AY4</f>
        <v>47938</v>
      </c>
      <c r="BA4" s="127" t="s">
        <v>527</v>
      </c>
      <c r="BB4" s="127" t="s">
        <v>528</v>
      </c>
      <c r="BC4" s="127" t="s">
        <v>529</v>
      </c>
      <c r="BD4" s="127" t="s">
        <v>530</v>
      </c>
    </row>
    <row r="5" spans="1:56"/>
    <row r="6" spans="1:56" ht="20" thickBot="1">
      <c r="A6" s="15" t="s">
        <v>400</v>
      </c>
      <c r="AU6" s="1"/>
      <c r="AV6" s="1"/>
      <c r="AW6" s="1"/>
      <c r="AX6" s="1"/>
      <c r="AY6" s="1"/>
    </row>
    <row r="7" spans="1:56" ht="16.5" outlineLevel="1" thickTop="1">
      <c r="D7" s="1" t="str" cm="1">
        <f t="array" aca="1" ref="D7" ca="1">IFERROR(MID(_xlfn.FORMULATEXT(I7),FIND("=",_xlfn.FORMULATEXT(I7))+1,FIND("!",_xlfn.FORMULATEXT(I7))-2),MID(_xlfn.FORMULATEXT(INDEX(L7:AV7,MATCH(FALSE,ISBLANK(L7:AV7),0))),FIND("=",_xlfn.FORMULATEXT(INDEX(L7:AV7,MATCH(FALSE,ISBLANK(L7:AV7),0))))+1,FIND("!",_xlfn.FORMULATEXT(INDEX(L7:AV7,MATCH(FALSE,ISBLANK(L7:AV7),0))))-2))</f>
        <v>Transform_TO</v>
      </c>
      <c r="E7" t="s">
        <v>524</v>
      </c>
      <c r="G7" t="s">
        <v>21</v>
      </c>
      <c r="AU7" s="101">
        <f>Transform_TO!AU209</f>
        <v>1.0903812147866101</v>
      </c>
      <c r="AV7" s="71">
        <f>Transform_TO!AV209</f>
        <v>1.1038900921236532</v>
      </c>
      <c r="AW7" s="71">
        <f>Transform_TO!AW209</f>
        <v>1.117474709683749</v>
      </c>
      <c r="AX7" s="71">
        <f>Transform_TO!AX209</f>
        <v>1.1311303901017495</v>
      </c>
      <c r="AY7" s="71">
        <f>Transform_TO!AY209</f>
        <v>1.1451152758990213</v>
      </c>
    </row>
    <row r="8" spans="1:56" outlineLevel="1">
      <c r="D8" s="1" t="str" cm="1">
        <f t="array" aca="1" ref="D8" ca="1">IFERROR(MID(_xlfn.FORMULATEXT(I8),FIND("=",_xlfn.FORMULATEXT(I8))+1,FIND("!",_xlfn.FORMULATEXT(I8))-2),MID(_xlfn.FORMULATEXT(INDEX(L8:AV8,MATCH(FALSE,ISBLANK(L8:AV8),0))),FIND("=",_xlfn.FORMULATEXT(INDEX(L8:AV8,MATCH(FALSE,ISBLANK(L8:AV8),0))))+1,FIND("!",_xlfn.FORMULATEXT(INDEX(L8:AV8,MATCH(FALSE,ISBLANK(L8:AV8),0))))-2))</f>
        <v>Depreciation</v>
      </c>
      <c r="E8" t="s">
        <v>1146</v>
      </c>
      <c r="G8" t="str">
        <f>price_label</f>
        <v>£m 23/24 prices</v>
      </c>
      <c r="I8" s="68"/>
      <c r="AU8" s="95">
        <f>Depreciation!AU132</f>
        <v>287.33942902318358</v>
      </c>
      <c r="AV8" s="69">
        <f>Depreciation!AV132</f>
        <v>306.56077010738363</v>
      </c>
      <c r="AW8" s="69">
        <f>Depreciation!AW132</f>
        <v>333.62707492785216</v>
      </c>
      <c r="AX8" s="69">
        <f>Depreciation!AX132</f>
        <v>361.5803257889358</v>
      </c>
      <c r="AY8" s="69">
        <f>Depreciation!AY132</f>
        <v>377.76461728459606</v>
      </c>
    </row>
    <row r="9" spans="1:56" outlineLevel="1">
      <c r="D9" s="1" t="str" cm="1">
        <f t="array" aca="1" ref="D9" ca="1">IFERROR(MID(_xlfn.FORMULATEXT(I9),FIND("=",_xlfn.FORMULATEXT(I9))+1,FIND("!",_xlfn.FORMULATEXT(I9))-2),MID(_xlfn.FORMULATEXT(INDEX(L9:AV9,MATCH(FALSE,ISBLANK(L9:AV9),0))),FIND("=",_xlfn.FORMULATEXT(INDEX(L9:AV9,MATCH(FALSE,ISBLANK(L9:AV9),0))))+1,FIND("!",_xlfn.FORMULATEXT(INDEX(L9:AV9,MATCH(FALSE,ISBLANK(L9:AV9),0))))-2))</f>
        <v>Depreciation</v>
      </c>
      <c r="E9" t="s">
        <v>674</v>
      </c>
      <c r="G9" t="str">
        <f>price_label</f>
        <v>£m 23/24 prices</v>
      </c>
      <c r="AU9" s="95">
        <f>Depreciation!AU31</f>
        <v>87.531805152637233</v>
      </c>
      <c r="AV9" s="69">
        <f>Depreciation!AV31</f>
        <v>84.796436241617315</v>
      </c>
      <c r="AW9" s="69">
        <f>Depreciation!AW31</f>
        <v>82.061067330597396</v>
      </c>
      <c r="AX9" s="69">
        <f>Depreciation!AX31</f>
        <v>79.325698419577492</v>
      </c>
      <c r="AY9" s="69">
        <f>Depreciation!AY31</f>
        <v>76.590329508557573</v>
      </c>
    </row>
    <row r="10" spans="1:56" outlineLevel="1">
      <c r="D10" s="1" t="str" cm="1">
        <f t="array" aca="1" ref="D10" ca="1">IFERROR(MID(_xlfn.FORMULATEXT(I10),FIND("=",_xlfn.FORMULATEXT(I10))+1,FIND("!",_xlfn.FORMULATEXT(I10))-2),MID(_xlfn.FORMULATEXT(INDEX(L10:AV10,MATCH(FALSE,ISBLANK(L10:AV10),0))),FIND("=",_xlfn.FORMULATEXT(INDEX(L10:AV10,MATCH(FALSE,ISBLANK(L10:AV10),0))))+1,FIND("!",_xlfn.FORMULATEXT(INDEX(L10:AV10,MATCH(FALSE,ISBLANK(L10:AV10),0))))-2))</f>
        <v>NonCore</v>
      </c>
      <c r="E10" t="s">
        <v>1147</v>
      </c>
      <c r="G10" t="str">
        <f>NonCore!G22</f>
        <v>£m 23/24 prices</v>
      </c>
      <c r="H10" s="108"/>
      <c r="AU10" s="95">
        <f>NonCore!AU22</f>
        <v>8.1929341427105484</v>
      </c>
      <c r="AV10" s="69">
        <f>NonCore!AV22</f>
        <v>8.1929341427105484</v>
      </c>
      <c r="AW10" s="69">
        <f>NonCore!AW22</f>
        <v>8.1929341427105484</v>
      </c>
      <c r="AX10" s="69">
        <f>NonCore!AX22</f>
        <v>8.1929341427105484</v>
      </c>
      <c r="AY10" s="69">
        <f>NonCore!AY22</f>
        <v>8.1929341427105484</v>
      </c>
      <c r="BA10" s="44"/>
    </row>
    <row r="11" spans="1:56" outlineLevel="1">
      <c r="D11" s="1" t="str" cm="1">
        <f t="array" aca="1" ref="D11" ca="1">IFERROR(MID(_xlfn.FORMULATEXT(I11),FIND("=",_xlfn.FORMULATEXT(I11))+1,FIND("!",_xlfn.FORMULATEXT(I11))-2),MID(_xlfn.FORMULATEXT(INDEX(L11:AV11,MATCH(FALSE,ISBLANK(L11:AV11),0))),FIND("=",_xlfn.FORMULATEXT(INDEX(L11:AV11,MATCH(FALSE,ISBLANK(L11:AV11),0))))+1,FIND("!",_xlfn.FORMULATEXT(INDEX(L11:AV11,MATCH(FALSE,ISBLANK(L11:AV11),0))))-2))</f>
        <v>NonCore</v>
      </c>
      <c r="E11" t="s">
        <v>1148</v>
      </c>
      <c r="G11" t="str">
        <f>NonCore!G37</f>
        <v>£m 23/24 prices</v>
      </c>
      <c r="AU11" s="95">
        <f>NonCore!AU37</f>
        <v>22.977532943724359</v>
      </c>
      <c r="AV11" s="69">
        <f>NonCore!AV37</f>
        <v>22.977532943724359</v>
      </c>
      <c r="AW11" s="69">
        <f>NonCore!AW37</f>
        <v>22.977532943724359</v>
      </c>
      <c r="AX11" s="69">
        <f>NonCore!AX37</f>
        <v>22.977532943724359</v>
      </c>
      <c r="AY11" s="69">
        <f>NonCore!AY37</f>
        <v>22.977532943724359</v>
      </c>
      <c r="BA11" s="44"/>
    </row>
    <row r="12" spans="1:56" outlineLevel="1">
      <c r="D12" s="1" t="str" cm="1">
        <f t="array" aca="1" ref="D12" ca="1">IFERROR(MID(_xlfn.FORMULATEXT(I12),FIND("=",_xlfn.FORMULATEXT(I12))+1,FIND("!",_xlfn.FORMULATEXT(I12))-2),MID(_xlfn.FORMULATEXT(INDEX(L12:AV12,MATCH(FALSE,ISBLANK(L12:AV12),0))),FIND("=",_xlfn.FORMULATEXT(INDEX(L12:AV12,MATCH(FALSE,ISBLANK(L12:AV12),0))))+1,FIND("!",_xlfn.FORMULATEXT(INDEX(L12:AV12,MATCH(FALSE,ISBLANK(L12:AV12),0))))-2))</f>
        <v>Transform_TO</v>
      </c>
      <c r="E12" t="s">
        <v>391</v>
      </c>
      <c r="G12" t="s">
        <v>21</v>
      </c>
      <c r="J12" t="s">
        <v>10</v>
      </c>
      <c r="AT12" s="103">
        <f>Transform_TO!AT170</f>
        <v>1.0832096821058097</v>
      </c>
      <c r="AU12" s="101">
        <f>Transform_TO!AU170</f>
        <v>1.0955743936244313</v>
      </c>
      <c r="AV12" s="71">
        <f>Transform_TO!AV170</f>
        <v>1.1189764907239503</v>
      </c>
      <c r="AW12" s="71">
        <f>Transform_TO!AW170</f>
        <v>1.1427183403407986</v>
      </c>
      <c r="AX12" s="71">
        <f>Transform_TO!AX170</f>
        <v>1.1667944795393224</v>
      </c>
      <c r="AY12" s="71">
        <f>Transform_TO!AY170</f>
        <v>1.191666589299726</v>
      </c>
    </row>
    <row r="13" spans="1:56" outlineLevel="1">
      <c r="D13" s="1" t="str" cm="1">
        <f t="array" aca="1" ref="D13" ca="1">IFERROR(MID(_xlfn.FORMULATEXT(I13),FIND("=",_xlfn.FORMULATEXT(I13))+1,FIND("!",_xlfn.FORMULATEXT(I13))-2),MID(_xlfn.FORMULATEXT(INDEX(L13:AV13,MATCH(FALSE,ISBLANK(L13:AV13),0))),FIND("=",_xlfn.FORMULATEXT(INDEX(L13:AV13,MATCH(FALSE,ISBLANK(L13:AV13),0))))+1,FIND("!",_xlfn.FORMULATEXT(INDEX(L13:AV13,MATCH(FALSE,ISBLANK(L13:AV13),0))))-2))</f>
        <v>Transform_TO</v>
      </c>
      <c r="E13" t="str">
        <f>Transform_TO!E65</f>
        <v>Legacy closing RAV</v>
      </c>
      <c r="G13" t="str">
        <f>Transform_TO!G65</f>
        <v>£m 23/24 prices</v>
      </c>
      <c r="J13" t="s">
        <v>10</v>
      </c>
      <c r="AT13" s="104">
        <f>Transform_TO!AT65</f>
        <v>7342.1902554981953</v>
      </c>
      <c r="BA13" s="44"/>
    </row>
    <row r="14" spans="1:56" outlineLevel="1">
      <c r="D14" s="1" t="str" cm="1">
        <f t="array" aca="1" ref="D14" ca="1">IFERROR(MID(_xlfn.FORMULATEXT(I14),FIND("=",_xlfn.FORMULATEXT(I14))+1,FIND("!",_xlfn.FORMULATEXT(I14))-2),MID(_xlfn.FORMULATEXT(INDEX(L14:AV14,MATCH(FALSE,ISBLANK(L14:AV14),0))),FIND("=",_xlfn.FORMULATEXT(INDEX(L14:AV14,MATCH(FALSE,ISBLANK(L14:AV14),0))))+1,FIND("!",_xlfn.FORMULATEXT(INDEX(L14:AV14,MATCH(FALSE,ISBLANK(L14:AV14),0))))-2))</f>
        <v>Transform_TO</v>
      </c>
      <c r="E14" t="s">
        <v>362</v>
      </c>
      <c r="G14" t="str">
        <f>Transform_TO!G210</f>
        <v>%</v>
      </c>
      <c r="AU14" s="99">
        <f>Transform_TO!AU210</f>
        <v>6.6206319969913004E-3</v>
      </c>
      <c r="AV14" s="70">
        <f>Transform_TO!AV210</f>
        <v>1.2389132492242123E-2</v>
      </c>
      <c r="AW14" s="70">
        <f>Transform_TO!AW210</f>
        <v>1.230613233783232E-2</v>
      </c>
      <c r="AX14" s="70">
        <f>Transform_TO!AX210</f>
        <v>1.2220124804314626E-2</v>
      </c>
      <c r="AY14" s="70">
        <f>Transform_TO!AY210</f>
        <v>1.2363637224894723E-2</v>
      </c>
    </row>
    <row r="15" spans="1:56" outlineLevel="1">
      <c r="D15" s="1" t="str" cm="1">
        <f t="array" aca="1" ref="D15" ca="1">IFERROR(MID(_xlfn.FORMULATEXT(I15),FIND("=",_xlfn.FORMULATEXT(I15))+1,FIND("!",_xlfn.FORMULATEXT(I15))-2),MID(_xlfn.FORMULATEXT(INDEX(L15:AV15,MATCH(FALSE,ISBLANK(L15:AV15),0))),FIND("=",_xlfn.FORMULATEXT(INDEX(L15:AV15,MATCH(FALSE,ISBLANK(L15:AV15),0))))+1,FIND("!",_xlfn.FORMULATEXT(INDEX(L15:AV15,MATCH(FALSE,ISBLANK(L15:AV15),0))))-2))</f>
        <v>TIM</v>
      </c>
      <c r="E15" t="s">
        <v>158</v>
      </c>
      <c r="G15" t="str">
        <f>price_label</f>
        <v>£m 23/24 prices</v>
      </c>
      <c r="AU15" s="95">
        <f>TIM!AU62</f>
        <v>607.43392606897851</v>
      </c>
      <c r="AV15" s="69">
        <f>TIM!AV62</f>
        <v>793.4797977214314</v>
      </c>
      <c r="AW15" s="69">
        <f>TIM!AW62</f>
        <v>823.9838698248094</v>
      </c>
      <c r="AX15" s="69">
        <f>TIM!AX62</f>
        <v>572.58259919875718</v>
      </c>
      <c r="AY15" s="69">
        <f>TIM!AY62</f>
        <v>507.97441573920003</v>
      </c>
    </row>
    <row r="16" spans="1:56" outlineLevel="1">
      <c r="D16" s="1" t="str" cm="1">
        <f t="array" aca="1" ref="D16" ca="1">IFERROR(MID(_xlfn.FORMULATEXT(I16),FIND("=",_xlfn.FORMULATEXT(I16))+1,FIND("!",_xlfn.FORMULATEXT(I16))-2),MID(_xlfn.FORMULATEXT(INDEX(L16:AV16,MATCH(FALSE,ISBLANK(L16:AV16),0))),FIND("=",_xlfn.FORMULATEXT(INDEX(L16:AV16,MATCH(FALSE,ISBLANK(L16:AV16),0))))+1,FIND("!",_xlfn.FORMULATEXT(INDEX(L16:AV16,MATCH(FALSE,ISBLANK(L16:AV16),0))))-2))</f>
        <v>Transform_TO</v>
      </c>
      <c r="E16" t="s">
        <v>236</v>
      </c>
      <c r="G16" t="s">
        <v>21</v>
      </c>
      <c r="AU16" s="101">
        <f>Transform_TO!AU171</f>
        <v>1.0902530663834287</v>
      </c>
      <c r="AV16" s="71">
        <f>Transform_TO!AV171</f>
        <v>1.1133444029171624</v>
      </c>
      <c r="AW16" s="71">
        <f>Transform_TO!AW171</f>
        <v>1.1368604024486282</v>
      </c>
      <c r="AX16" s="71">
        <f>Transform_TO!AX171</f>
        <v>1.1609444338602923</v>
      </c>
      <c r="AY16" s="71">
        <f>Transform_TO!AY171</f>
        <v>1.1846925189308175</v>
      </c>
      <c r="BA16" s="44"/>
    </row>
    <row r="17" spans="1:55" outlineLevel="1">
      <c r="D17" s="1" t="str" cm="1">
        <f t="array" aca="1" ref="D17" ca="1">IFERROR(MID(_xlfn.FORMULATEXT(I17),FIND("=",_xlfn.FORMULATEXT(I17))+1,FIND("!",_xlfn.FORMULATEXT(I17))-2),MID(_xlfn.FORMULATEXT(INDEX(L17:AV17,MATCH(FALSE,ISBLANK(L17:AV17),0))),FIND("=",_xlfn.FORMULATEXT(INDEX(L17:AV17,MATCH(FALSE,ISBLANK(L17:AV17),0))))+1,FIND("!",_xlfn.FORMULATEXT(INDEX(L17:AV17,MATCH(FALSE,ISBLANK(L17:AV17),0))))-2))</f>
        <v>Transform_TO</v>
      </c>
      <c r="E17" t="s">
        <v>129</v>
      </c>
      <c r="G17" t="str">
        <f>Transform_TO!G208</f>
        <v>semi-nominal %</v>
      </c>
      <c r="AU17" s="99">
        <f>Transform_TO!AU208</f>
        <v>5.1307412400000085E-2</v>
      </c>
      <c r="AV17" s="70">
        <f>Transform_TO!AV208</f>
        <v>5.1855463800000071E-2</v>
      </c>
      <c r="AW17" s="70">
        <f>Transform_TO!AW208</f>
        <v>5.23426206E-2</v>
      </c>
      <c r="AX17" s="70">
        <f>Transform_TO!AX208</f>
        <v>5.3012461200000013E-2</v>
      </c>
      <c r="AY17" s="70">
        <f>Transform_TO!AY208</f>
        <v>5.3804091000000054E-2</v>
      </c>
    </row>
    <row r="18" spans="1:55"/>
    <row r="19" spans="1:55" ht="20" thickBot="1">
      <c r="A19" s="15" t="s">
        <v>307</v>
      </c>
      <c r="AU19" s="3"/>
      <c r="AV19" s="3"/>
      <c r="AW19" s="3"/>
      <c r="AX19" s="3"/>
      <c r="AY19" s="3"/>
      <c r="BA19" s="44"/>
    </row>
    <row r="20" spans="1:55" ht="16.5" thickTop="1">
      <c r="E20" t="s">
        <v>430</v>
      </c>
      <c r="G20" t="str">
        <f>nominal</f>
        <v>£m nominal</v>
      </c>
      <c r="AU20" s="96">
        <f>-SUM(AU9,AU8,AU10,AU11)*AU7</f>
        <v>-442.74024347636026</v>
      </c>
      <c r="AV20" s="61">
        <f>-SUM(AV9,AV8,AV10,AV11)*AV7</f>
        <v>-466.42411235343616</v>
      </c>
      <c r="AW20" s="61">
        <f>-SUM(AW9,AW8,AW10,AW11)*AW7</f>
        <v>-499.3531947473586</v>
      </c>
      <c r="AX20" s="61">
        <f>-SUM(AX9,AX8,AX10,AX11)*AX7</f>
        <v>-533.98006575631996</v>
      </c>
      <c r="AY20" s="61">
        <f>-SUM(AY9,AY8,AY10,AY11)*AY7</f>
        <v>-555.98256827071157</v>
      </c>
      <c r="BA20" s="44" t="str">
        <f ca="1">$A$1</f>
        <v>Return&amp;RAV</v>
      </c>
      <c r="BB20" s="1" t="str">
        <f>$A$19</f>
        <v>Depreciation summaries</v>
      </c>
    </row>
    <row r="21" spans="1:55">
      <c r="E21" t="s">
        <v>430</v>
      </c>
      <c r="G21" t="str">
        <f>price_label</f>
        <v>£m 23/24 prices</v>
      </c>
      <c r="AU21" s="96">
        <f>AU20/PCf</f>
        <v>-404.11700570297734</v>
      </c>
      <c r="AV21" s="61">
        <f t="shared" ref="AV21:AY21" si="0">AV20/PCf</f>
        <v>-416.83102032972221</v>
      </c>
      <c r="AW21" s="61">
        <f t="shared" si="0"/>
        <v>-436.98711845163353</v>
      </c>
      <c r="AX21" s="61">
        <f t="shared" si="0"/>
        <v>-457.64706220340338</v>
      </c>
      <c r="AY21" s="61">
        <f t="shared" si="0"/>
        <v>-466.55882883939086</v>
      </c>
      <c r="BA21" s="44" t="str">
        <f t="shared" ref="BA21:BA53" ca="1" si="1">$A$1</f>
        <v>Return&amp;RAV</v>
      </c>
      <c r="BB21" s="1" t="str">
        <f t="shared" ref="BB21" si="2">$A$19</f>
        <v>Depreciation summaries</v>
      </c>
    </row>
    <row r="22" spans="1:55">
      <c r="AU22" s="3"/>
      <c r="AV22" s="3"/>
      <c r="AW22" s="3"/>
      <c r="AX22" s="3"/>
      <c r="AY22" s="3"/>
      <c r="BA22" s="44"/>
    </row>
    <row r="23" spans="1:55" ht="20" thickBot="1">
      <c r="A23" s="15" t="s">
        <v>159</v>
      </c>
      <c r="AU23" s="3"/>
      <c r="AV23" s="3"/>
      <c r="AW23" s="3"/>
      <c r="AX23" s="3"/>
      <c r="AY23" s="3"/>
      <c r="BA23" s="44"/>
    </row>
    <row r="24" spans="1:55" ht="18" thickTop="1" thickBot="1">
      <c r="B24" s="17" t="s">
        <v>103</v>
      </c>
      <c r="AU24" s="3"/>
      <c r="AV24" s="3"/>
      <c r="AW24" s="3"/>
      <c r="AX24" s="3"/>
      <c r="AY24" s="3"/>
      <c r="BA24" s="44"/>
    </row>
    <row r="25" spans="1:55" ht="16.5" thickTop="1">
      <c r="A25" s="1"/>
      <c r="E25" t="s">
        <v>160</v>
      </c>
      <c r="G25" t="str">
        <f t="shared" ref="G25:G30" si="3">nominal</f>
        <v>£m nominal</v>
      </c>
      <c r="AU25" s="96">
        <f>AT13*AT12*StartingBalance+AT30</f>
        <v>7953.131572618574</v>
      </c>
      <c r="AV25" s="61">
        <f>AU13*AU12*StartingBalance+AU30</f>
        <v>8228.5351417281017</v>
      </c>
      <c r="AW25" s="61">
        <f>AV13*AV12*StartingBalance+AV30</f>
        <v>8751.9406809772827</v>
      </c>
      <c r="AX25" s="61">
        <f>AW13*AW12*StartingBalance+AW30</f>
        <v>9301.8715066566838</v>
      </c>
      <c r="AY25" s="61">
        <f>AX13*AX12*StartingBalance+AX30</f>
        <v>9549.6476874507935</v>
      </c>
      <c r="BA25" s="44" t="str">
        <f t="shared" ca="1" si="1"/>
        <v>Return&amp;RAV</v>
      </c>
      <c r="BB25" s="1" t="str">
        <f t="shared" ref="BB25:BB30" si="4">$A$23</f>
        <v>RAV running total</v>
      </c>
      <c r="BC25" s="1" t="str">
        <f t="shared" ref="BC25:BC30" si="5">$B$24</f>
        <v>Nominal</v>
      </c>
    </row>
    <row r="26" spans="1:55">
      <c r="E26" t="s">
        <v>526</v>
      </c>
      <c r="G26" t="str">
        <f t="shared" si="3"/>
        <v>£m nominal</v>
      </c>
      <c r="AU26" s="96">
        <f>AU25*AU14</f>
        <v>52.654757365960272</v>
      </c>
      <c r="AV26" s="61">
        <f>AV25*AV14</f>
        <v>101.94441208793977</v>
      </c>
      <c r="AW26" s="61">
        <f>AW25*AW14</f>
        <v>107.70254023296475</v>
      </c>
      <c r="AX26" s="61">
        <f>AX25*AX14</f>
        <v>113.67003072504281</v>
      </c>
      <c r="AY26" s="61">
        <f>AY25*AY14</f>
        <v>118.06837963319643</v>
      </c>
      <c r="BA26" s="44" t="str">
        <f t="shared" ca="1" si="1"/>
        <v>Return&amp;RAV</v>
      </c>
      <c r="BB26" s="1" t="str">
        <f t="shared" si="4"/>
        <v>RAV running total</v>
      </c>
      <c r="BC26" s="1" t="str">
        <f t="shared" si="5"/>
        <v>Nominal</v>
      </c>
    </row>
    <row r="27" spans="1:55">
      <c r="E27" t="s">
        <v>161</v>
      </c>
      <c r="G27" t="str">
        <f t="shared" si="3"/>
        <v>£m nominal</v>
      </c>
      <c r="AU27" s="96">
        <f>SUM(AU25:AU26)</f>
        <v>8005.7863299845339</v>
      </c>
      <c r="AV27" s="61">
        <f>SUM(AV25:AV26)</f>
        <v>8330.4795538160415</v>
      </c>
      <c r="AW27" s="61">
        <f>SUM(AW25:AW26)</f>
        <v>8859.6432212102482</v>
      </c>
      <c r="AX27" s="61">
        <f>SUM(AX25:AX26)</f>
        <v>9415.5415373817268</v>
      </c>
      <c r="AY27" s="61">
        <f>SUM(AY25:AY26)</f>
        <v>9667.7160670839894</v>
      </c>
      <c r="BA27" s="44" t="str">
        <f t="shared" ca="1" si="1"/>
        <v>Return&amp;RAV</v>
      </c>
      <c r="BB27" s="1" t="str">
        <f t="shared" si="4"/>
        <v>RAV running total</v>
      </c>
      <c r="BC27" s="1" t="str">
        <f t="shared" si="5"/>
        <v>Nominal</v>
      </c>
    </row>
    <row r="28" spans="1:55">
      <c r="E28" t="s">
        <v>626</v>
      </c>
      <c r="G28" t="str">
        <f t="shared" si="3"/>
        <v>£m nominal</v>
      </c>
      <c r="AU28" s="97">
        <f t="shared" ref="AU28:AY28" si="6">AU36*PCf</f>
        <v>665.48905521992879</v>
      </c>
      <c r="AV28" s="38">
        <f t="shared" si="6"/>
        <v>887.88523951467721</v>
      </c>
      <c r="AW28" s="38">
        <f t="shared" si="6"/>
        <v>941.58148019379485</v>
      </c>
      <c r="AX28" s="38">
        <f t="shared" si="6"/>
        <v>668.08621582538626</v>
      </c>
      <c r="AY28" s="38">
        <f t="shared" si="6"/>
        <v>605.33613945545358</v>
      </c>
      <c r="BA28" s="44" t="str">
        <f t="shared" ca="1" si="1"/>
        <v>Return&amp;RAV</v>
      </c>
      <c r="BB28" s="1" t="str">
        <f t="shared" si="4"/>
        <v>RAV running total</v>
      </c>
      <c r="BC28" s="1" t="str">
        <f t="shared" si="5"/>
        <v>Nominal</v>
      </c>
    </row>
    <row r="29" spans="1:55">
      <c r="E29" t="s">
        <v>154</v>
      </c>
      <c r="G29" t="str">
        <f t="shared" si="3"/>
        <v>£m nominal</v>
      </c>
      <c r="AU29" s="97">
        <f>AU20</f>
        <v>-442.74024347636026</v>
      </c>
      <c r="AV29" s="38">
        <f>AV20</f>
        <v>-466.42411235343616</v>
      </c>
      <c r="AW29" s="38">
        <f>AW20</f>
        <v>-499.3531947473586</v>
      </c>
      <c r="AX29" s="38">
        <f>AX20</f>
        <v>-533.98006575631996</v>
      </c>
      <c r="AY29" s="38">
        <f>AY20</f>
        <v>-555.98256827071157</v>
      </c>
      <c r="BA29" s="44" t="str">
        <f t="shared" ca="1" si="1"/>
        <v>Return&amp;RAV</v>
      </c>
      <c r="BB29" s="1" t="str">
        <f t="shared" si="4"/>
        <v>RAV running total</v>
      </c>
      <c r="BC29" s="1" t="str">
        <f t="shared" si="5"/>
        <v>Nominal</v>
      </c>
    </row>
    <row r="30" spans="1:55">
      <c r="E30" t="s">
        <v>162</v>
      </c>
      <c r="G30" t="str">
        <f t="shared" si="3"/>
        <v>£m nominal</v>
      </c>
      <c r="AU30" s="96">
        <f t="shared" ref="AU30:AY30" si="7">SUM(AU27:AU29)</f>
        <v>8228.5351417281017</v>
      </c>
      <c r="AV30" s="61">
        <f t="shared" si="7"/>
        <v>8751.9406809772827</v>
      </c>
      <c r="AW30" s="61">
        <f t="shared" si="7"/>
        <v>9301.8715066566838</v>
      </c>
      <c r="AX30" s="61">
        <f t="shared" si="7"/>
        <v>9549.6476874507935</v>
      </c>
      <c r="AY30" s="61">
        <f t="shared" si="7"/>
        <v>9717.0696382687311</v>
      </c>
      <c r="BA30" s="44" t="str">
        <f t="shared" ca="1" si="1"/>
        <v>Return&amp;RAV</v>
      </c>
      <c r="BB30" s="1" t="str">
        <f t="shared" si="4"/>
        <v>RAV running total</v>
      </c>
      <c r="BC30" s="1" t="str">
        <f t="shared" si="5"/>
        <v>Nominal</v>
      </c>
    </row>
    <row r="31" spans="1:55">
      <c r="AU31" s="3"/>
      <c r="AV31" s="3"/>
      <c r="AW31" s="3"/>
      <c r="AX31" s="3"/>
      <c r="AY31" s="3"/>
      <c r="BA31" s="44"/>
    </row>
    <row r="32" spans="1:55" ht="17.5" thickBot="1">
      <c r="B32" s="17" t="s">
        <v>163</v>
      </c>
      <c r="AU32" s="3"/>
      <c r="AV32" s="3"/>
      <c r="AW32" s="3"/>
      <c r="AX32" s="3"/>
      <c r="AY32" s="3"/>
      <c r="BA32" s="44"/>
    </row>
    <row r="33" spans="1:55" ht="16.5" thickTop="1">
      <c r="E33" t="s">
        <v>160</v>
      </c>
      <c r="G33" t="s">
        <v>110</v>
      </c>
      <c r="AU33" s="96">
        <f>AT13*StartingBalance+AT38</f>
        <v>7342.1902554981953</v>
      </c>
      <c r="AV33" s="61">
        <f>AU13*StartingBalance+AU38</f>
        <v>7510.7041471698431</v>
      </c>
      <c r="AW33" s="61">
        <f>AV13*StartingBalance+AV38</f>
        <v>7821.3803002375789</v>
      </c>
      <c r="AX33" s="61">
        <f>AW13*StartingBalance+AW38</f>
        <v>8140.1262045750836</v>
      </c>
      <c r="AY33" s="61">
        <f>AX13*StartingBalance+AX38</f>
        <v>8184.5156579942141</v>
      </c>
      <c r="BA33" s="44" t="str">
        <f t="shared" ca="1" si="1"/>
        <v>Return&amp;RAV</v>
      </c>
      <c r="BB33" s="1" t="str">
        <f t="shared" ref="BB33:BB38" si="8">$A$23</f>
        <v>RAV running total</v>
      </c>
      <c r="BC33" s="1" t="str">
        <f t="shared" ref="BC33:BC38" si="9">$B$32</f>
        <v>Real</v>
      </c>
    </row>
    <row r="34" spans="1:55">
      <c r="E34" t="s">
        <v>647</v>
      </c>
      <c r="G34" t="s">
        <v>110</v>
      </c>
      <c r="AU34" s="96">
        <f>((AU25+AU26)/PCf-AU33)*RIIO3</f>
        <v>-34.803028694353088</v>
      </c>
      <c r="AV34" s="61">
        <f>((AV25+AV26)/PCf-AV33)*RIIO3</f>
        <v>-65.972624323973832</v>
      </c>
      <c r="AW34" s="61">
        <f>((AW25+AW26)/PCf-AW33)*RIIO3</f>
        <v>-68.250847035670631</v>
      </c>
      <c r="AX34" s="61">
        <f>((AX25+AX26)/PCf-AX33)*RIIO3</f>
        <v>-70.546083576223282</v>
      </c>
      <c r="AY34" s="61">
        <f>((AY25+AY26)/PCf-AY33)*RIIO3</f>
        <v>-71.746403663478304</v>
      </c>
      <c r="BA34" s="44" t="str">
        <f t="shared" ca="1" si="1"/>
        <v>Return&amp;RAV</v>
      </c>
      <c r="BB34" s="1" t="str">
        <f t="shared" si="8"/>
        <v>RAV running total</v>
      </c>
      <c r="BC34" s="1" t="str">
        <f t="shared" si="9"/>
        <v>Real</v>
      </c>
    </row>
    <row r="35" spans="1:55">
      <c r="E35" t="s">
        <v>161</v>
      </c>
      <c r="G35" t="s">
        <v>110</v>
      </c>
      <c r="AU35" s="96">
        <f>SUM(AU33:AU34)</f>
        <v>7307.3872268038422</v>
      </c>
      <c r="AV35" s="61">
        <f>SUM(AV33:AV34)</f>
        <v>7444.7315228458692</v>
      </c>
      <c r="AW35" s="61">
        <f>SUM(AW33:AW34)</f>
        <v>7753.1294532019083</v>
      </c>
      <c r="AX35" s="61">
        <f>SUM(AX33:AX34)</f>
        <v>8069.5801209988604</v>
      </c>
      <c r="AY35" s="61">
        <f>SUM(AY33:AY34)</f>
        <v>8112.7692543307357</v>
      </c>
      <c r="BA35" s="44" t="str">
        <f t="shared" ca="1" si="1"/>
        <v>Return&amp;RAV</v>
      </c>
      <c r="BB35" s="1" t="str">
        <f t="shared" si="8"/>
        <v>RAV running total</v>
      </c>
      <c r="BC35" s="1" t="str">
        <f t="shared" si="9"/>
        <v>Real</v>
      </c>
    </row>
    <row r="36" spans="1:55">
      <c r="E36" t="s">
        <v>626</v>
      </c>
      <c r="G36" t="s">
        <v>110</v>
      </c>
      <c r="AU36" s="97">
        <f>AU15</f>
        <v>607.43392606897851</v>
      </c>
      <c r="AV36" s="38">
        <f>AV15</f>
        <v>793.4797977214314</v>
      </c>
      <c r="AW36" s="38">
        <f>AW15</f>
        <v>823.9838698248094</v>
      </c>
      <c r="AX36" s="38">
        <f>AX15</f>
        <v>572.58259919875718</v>
      </c>
      <c r="AY36" s="38">
        <f>AY15</f>
        <v>507.97441573920003</v>
      </c>
      <c r="BA36" s="44" t="str">
        <f t="shared" ca="1" si="1"/>
        <v>Return&amp;RAV</v>
      </c>
      <c r="BB36" s="1" t="str">
        <f t="shared" si="8"/>
        <v>RAV running total</v>
      </c>
      <c r="BC36" s="1" t="str">
        <f t="shared" si="9"/>
        <v>Real</v>
      </c>
    </row>
    <row r="37" spans="1:55">
      <c r="E37" t="s">
        <v>154</v>
      </c>
      <c r="G37" t="s">
        <v>110</v>
      </c>
      <c r="AU37" s="97">
        <f>AU21</f>
        <v>-404.11700570297734</v>
      </c>
      <c r="AV37" s="38">
        <f>AV21</f>
        <v>-416.83102032972221</v>
      </c>
      <c r="AW37" s="38">
        <f>AW21</f>
        <v>-436.98711845163353</v>
      </c>
      <c r="AX37" s="38">
        <f>AX21</f>
        <v>-457.64706220340338</v>
      </c>
      <c r="AY37" s="38">
        <f>AY21</f>
        <v>-466.55882883939086</v>
      </c>
      <c r="BA37" s="44" t="str">
        <f t="shared" ca="1" si="1"/>
        <v>Return&amp;RAV</v>
      </c>
      <c r="BB37" s="1" t="str">
        <f t="shared" si="8"/>
        <v>RAV running total</v>
      </c>
      <c r="BC37" s="1" t="str">
        <f t="shared" si="9"/>
        <v>Real</v>
      </c>
    </row>
    <row r="38" spans="1:55">
      <c r="E38" t="s">
        <v>162</v>
      </c>
      <c r="G38" t="s">
        <v>110</v>
      </c>
      <c r="AU38" s="96">
        <f t="shared" ref="AU38" si="10">SUM(AU35:AU37)</f>
        <v>7510.7041471698431</v>
      </c>
      <c r="AV38" s="61">
        <f t="shared" ref="AV38" si="11">SUM(AV35:AV37)</f>
        <v>7821.3803002375789</v>
      </c>
      <c r="AW38" s="61">
        <f t="shared" ref="AW38" si="12">SUM(AW35:AW37)</f>
        <v>8140.1262045750836</v>
      </c>
      <c r="AX38" s="61">
        <f t="shared" ref="AX38" si="13">SUM(AX35:AX37)</f>
        <v>8184.5156579942141</v>
      </c>
      <c r="AY38" s="61">
        <f t="shared" ref="AY38" si="14">SUM(AY35:AY37)</f>
        <v>8154.1848412305453</v>
      </c>
      <c r="BA38" s="44" t="str">
        <f t="shared" ca="1" si="1"/>
        <v>Return&amp;RAV</v>
      </c>
      <c r="BB38" s="1" t="str">
        <f t="shared" si="8"/>
        <v>RAV running total</v>
      </c>
      <c r="BC38" s="1" t="str">
        <f t="shared" si="9"/>
        <v>Real</v>
      </c>
    </row>
    <row r="39" spans="1:55"/>
    <row r="40" spans="1:55" ht="17.5" thickBot="1">
      <c r="B40" s="17" t="s">
        <v>531</v>
      </c>
    </row>
    <row r="41" spans="1:55" ht="16.5" thickTop="1">
      <c r="E41" t="s">
        <v>162</v>
      </c>
      <c r="G41" t="str">
        <f>nominal</f>
        <v>£m nominal</v>
      </c>
      <c r="AU41" s="96">
        <f>AU38*AU16</f>
        <v>8188.5682271506557</v>
      </c>
      <c r="AV41" s="61">
        <f>AV38*AV16</f>
        <v>8707.8899803560635</v>
      </c>
      <c r="AW41" s="61">
        <f>AW38*AW16</f>
        <v>9254.1871529158543</v>
      </c>
      <c r="AX41" s="61">
        <f>AX38*AX16</f>
        <v>9501.7678969907902</v>
      </c>
      <c r="AY41" s="61">
        <f>AY38*AY16</f>
        <v>9660.2017793849027</v>
      </c>
      <c r="BA41" s="44" t="str">
        <f t="shared" ca="1" si="1"/>
        <v>Return&amp;RAV</v>
      </c>
      <c r="BB41" s="1" t="str">
        <f t="shared" ref="BB41" si="15">$A$23</f>
        <v>RAV running total</v>
      </c>
      <c r="BC41" s="1" t="str">
        <f>$B$40</f>
        <v>Closing RAV (FY end)</v>
      </c>
    </row>
    <row r="42" spans="1:55"/>
    <row r="43" spans="1:55" ht="20" thickBot="1">
      <c r="A43" s="15" t="s">
        <v>164</v>
      </c>
      <c r="BA43" s="44"/>
    </row>
    <row r="44" spans="1:55" ht="16.5" thickTop="1">
      <c r="E44" t="s">
        <v>129</v>
      </c>
      <c r="G44" t="s">
        <v>33</v>
      </c>
      <c r="AU44" s="105">
        <f>AU17</f>
        <v>5.1307412400000085E-2</v>
      </c>
      <c r="AV44" s="60">
        <f>AV17</f>
        <v>5.1855463800000071E-2</v>
      </c>
      <c r="AW44" s="60">
        <f>AW17</f>
        <v>5.23426206E-2</v>
      </c>
      <c r="AX44" s="60">
        <f>AX17</f>
        <v>5.3012461200000013E-2</v>
      </c>
      <c r="AY44" s="60">
        <f>AY17</f>
        <v>5.3804091000000054E-2</v>
      </c>
      <c r="BA44" s="44" t="str">
        <f t="shared" ca="1" si="1"/>
        <v>Return&amp;RAV</v>
      </c>
      <c r="BB44" s="1" t="str">
        <f>$A$43</f>
        <v>RAV Return</v>
      </c>
    </row>
    <row r="45" spans="1:55">
      <c r="E45" t="s">
        <v>165</v>
      </c>
      <c r="G45" t="s">
        <v>21</v>
      </c>
      <c r="AU45" s="106">
        <f>1/(1+AU44)</f>
        <v>0.95119656553845477</v>
      </c>
      <c r="AV45" s="63">
        <f t="shared" ref="AV45:AY45" si="16">1/(1+AV44)</f>
        <v>0.95070096074543953</v>
      </c>
      <c r="AW45" s="63">
        <f t="shared" si="16"/>
        <v>0.95026085651633452</v>
      </c>
      <c r="AX45" s="63">
        <f t="shared" si="16"/>
        <v>0.94965637810250825</v>
      </c>
      <c r="AY45" s="63">
        <f t="shared" si="16"/>
        <v>0.94894298526688869</v>
      </c>
      <c r="BA45" s="44" t="str">
        <f t="shared" ca="1" si="1"/>
        <v>Return&amp;RAV</v>
      </c>
      <c r="BB45" s="1" t="str">
        <f t="shared" ref="BB45" si="17">$A$43</f>
        <v>RAV Return</v>
      </c>
    </row>
    <row r="46" spans="1:55">
      <c r="BA46" s="44"/>
    </row>
    <row r="47" spans="1:55">
      <c r="E47" t="s">
        <v>166</v>
      </c>
      <c r="G47" t="str">
        <f>nominal</f>
        <v>£m nominal</v>
      </c>
      <c r="AU47" s="96">
        <f>AU30*AU45</f>
        <v>7826.9543662242522</v>
      </c>
      <c r="AV47" s="61">
        <f>AV30*AV45</f>
        <v>8320.4784137921997</v>
      </c>
      <c r="AW47" s="61">
        <f>AW30*AW45</f>
        <v>8839.2043851204671</v>
      </c>
      <c r="AX47" s="61">
        <f>AX30*AX45</f>
        <v>9068.8838350195147</v>
      </c>
      <c r="AY47" s="61">
        <f>AY30*AY45</f>
        <v>9220.9450705849758</v>
      </c>
      <c r="BA47" s="44" t="str">
        <f t="shared" ca="1" si="1"/>
        <v>Return&amp;RAV</v>
      </c>
      <c r="BB47" s="1" t="str">
        <f>$A$43</f>
        <v>RAV Return</v>
      </c>
    </row>
    <row r="48" spans="1:55">
      <c r="AU48" s="3"/>
      <c r="AV48" s="3"/>
      <c r="AW48" s="3"/>
      <c r="AX48" s="3"/>
      <c r="AY48" s="3"/>
      <c r="BA48" s="44"/>
    </row>
    <row r="49" spans="1:54">
      <c r="B49" s="2"/>
      <c r="E49" t="s">
        <v>167</v>
      </c>
      <c r="G49" t="str">
        <f>nominal</f>
        <v>£m nominal</v>
      </c>
      <c r="AU49" s="96">
        <f>AVERAGE(AU27,AU47)</f>
        <v>7916.3703481043931</v>
      </c>
      <c r="AV49" s="61">
        <f>AVERAGE(AV27,AV47)</f>
        <v>8325.4789838041215</v>
      </c>
      <c r="AW49" s="61">
        <f>AVERAGE(AW27,AW47)</f>
        <v>8849.4238031653585</v>
      </c>
      <c r="AX49" s="61">
        <f>AVERAGE(AX27,AX47)</f>
        <v>9242.2126862006207</v>
      </c>
      <c r="AY49" s="61">
        <f>AVERAGE(AY27,AY47)</f>
        <v>9444.3305688344826</v>
      </c>
      <c r="BA49" s="44" t="str">
        <f t="shared" ca="1" si="1"/>
        <v>Return&amp;RAV</v>
      </c>
      <c r="BB49" s="1" t="str">
        <f>$A$43</f>
        <v>RAV Return</v>
      </c>
    </row>
    <row r="50" spans="1:54">
      <c r="B50" s="2"/>
      <c r="E50" t="s">
        <v>167</v>
      </c>
      <c r="G50" t="str">
        <f>price_label</f>
        <v>£m 23/24 prices</v>
      </c>
      <c r="AU50" s="96">
        <f>AU49/PCf</f>
        <v>7225.7716081836124</v>
      </c>
      <c r="AV50" s="61">
        <f>AV49/PCf</f>
        <v>7440.2626443185964</v>
      </c>
      <c r="AW50" s="61">
        <f>AW49/PCf</f>
        <v>7744.1863762562443</v>
      </c>
      <c r="AX50" s="61">
        <f>AX49/PCf</f>
        <v>7921.0288086464561</v>
      </c>
      <c r="AY50" s="61">
        <f>AY49/PCf</f>
        <v>7925.31287999303</v>
      </c>
      <c r="BA50" s="44" t="str">
        <f t="shared" ca="1" si="1"/>
        <v>Return&amp;RAV</v>
      </c>
      <c r="BB50" s="1" t="str">
        <f>$A$43</f>
        <v>RAV Return</v>
      </c>
    </row>
    <row r="51" spans="1:54">
      <c r="B51" s="2"/>
      <c r="AU51" s="3"/>
      <c r="AV51" s="3"/>
      <c r="AW51" s="3"/>
      <c r="AX51" s="3"/>
      <c r="AY51" s="3"/>
      <c r="BA51" s="44"/>
    </row>
    <row r="52" spans="1:54">
      <c r="E52" t="s">
        <v>230</v>
      </c>
      <c r="G52" t="str">
        <f>nominal</f>
        <v>£m nominal</v>
      </c>
      <c r="AU52" s="96">
        <f>AU49*AU44</f>
        <v>406.16847816132434</v>
      </c>
      <c r="AV52" s="61">
        <f t="shared" ref="AV52:AY52" si="18">AV49*AV44</f>
        <v>431.72157406231599</v>
      </c>
      <c r="AW52" s="61">
        <f t="shared" si="18"/>
        <v>463.20203265769345</v>
      </c>
      <c r="AX52" s="61">
        <f t="shared" si="18"/>
        <v>489.95244142935832</v>
      </c>
      <c r="AY52" s="61">
        <f t="shared" si="18"/>
        <v>508.1436213596528</v>
      </c>
      <c r="BA52" s="44" t="str">
        <f t="shared" ca="1" si="1"/>
        <v>Return&amp;RAV</v>
      </c>
      <c r="BB52" s="1" t="str">
        <f t="shared" ref="BB52:BB53" si="19">$A$43</f>
        <v>RAV Return</v>
      </c>
    </row>
    <row r="53" spans="1:54">
      <c r="E53" t="s">
        <v>230</v>
      </c>
      <c r="G53" t="s">
        <v>110</v>
      </c>
      <c r="AU53" s="96">
        <f>AU52/PCf</f>
        <v>370.73564380928843</v>
      </c>
      <c r="AV53" s="61">
        <f>AV52/PCf</f>
        <v>385.81827021495576</v>
      </c>
      <c r="AW53" s="61">
        <f>AW52/PCf</f>
        <v>405.35100934806945</v>
      </c>
      <c r="AX53" s="61">
        <f>AX52/PCf</f>
        <v>419.91323238245263</v>
      </c>
      <c r="AY53" s="61">
        <f>AY52/PCf</f>
        <v>426.41425539861751</v>
      </c>
      <c r="BA53" s="44" t="str">
        <f t="shared" ca="1" si="1"/>
        <v>Return&amp;RAV</v>
      </c>
      <c r="BB53" s="1" t="str">
        <f t="shared" si="19"/>
        <v>RAV Return</v>
      </c>
    </row>
    <row r="54" spans="1:54"/>
    <row r="55" spans="1:54" ht="20" thickBot="1">
      <c r="A55" s="15" t="s">
        <v>241</v>
      </c>
    </row>
    <row r="56" spans="1:54"/>
    <row r="57" spans="1:54"/>
    <row r="74" spans="4:4" hidden="1">
      <c r="D74" s="1"/>
    </row>
  </sheetData>
  <phoneticPr fontId="8" type="noConversion"/>
  <conditionalFormatting sqref="H1">
    <cfRule type="cellIs" dxfId="11" priority="1" operator="equal">
      <formula>"ERROR"</formula>
    </cfRule>
  </conditionalFormatting>
  <pageMargins left="0.7" right="0.7" top="0.75" bottom="0.75" header="0.3" footer="0.3"/>
  <pageSetup paperSize="9" orientation="portrait" r:id="rId1"/>
  <headerFooter>
    <oddFooter>&amp;L_x000D_&amp;1#&amp;"Aptos"&amp;10&amp;K000000 National Gas | Business Use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F11013-2B51-48D9-83AD-5F5CC83A04C5}">
  <sheetPr codeName="Sheet8">
    <tabColor rgb="FFBAA0CC"/>
    <pageSetUpPr autoPageBreaks="0"/>
  </sheetPr>
  <dimension ref="A1:BF105"/>
  <sheetViews>
    <sheetView workbookViewId="0">
      <pane xSplit="10" ySplit="4" topLeftCell="K5" activePane="bottomRight" state="frozen"/>
      <selection pane="topRight" activeCell="K1" sqref="K1"/>
      <selection pane="bottomLeft" activeCell="A5" sqref="A5"/>
      <selection pane="bottomRight"/>
    </sheetView>
  </sheetViews>
  <sheetFormatPr defaultColWidth="0" defaultRowHeight="16" zeroHeight="1" outlineLevelRow="1" outlineLevelCol="1"/>
  <cols>
    <col min="1" max="3" width="1.81640625" customWidth="1"/>
    <col min="4" max="4" width="15.7265625" customWidth="1"/>
    <col min="5" max="5" width="77.26953125" customWidth="1"/>
    <col min="6" max="6" width="8.7265625" customWidth="1"/>
    <col min="7" max="7" width="17.7265625" customWidth="1"/>
    <col min="8" max="8" width="9.7265625" customWidth="1"/>
    <col min="9" max="9" width="11.7265625" customWidth="1"/>
    <col min="10" max="10" width="2.08984375" customWidth="1"/>
    <col min="11" max="45" width="11.7265625" hidden="1" customWidth="1" outlineLevel="1"/>
    <col min="46" max="46" width="11.7265625" style="77" hidden="1" customWidth="1" outlineLevel="1"/>
    <col min="47" max="47" width="11.7265625" customWidth="1" collapsed="1"/>
    <col min="48" max="52" width="11.7265625" customWidth="1"/>
    <col min="53" max="55" width="10.7265625" style="1" customWidth="1"/>
    <col min="56" max="57" width="10.7265625" customWidth="1"/>
    <col min="58" max="58" width="1.7265625" style="8" customWidth="1"/>
    <col min="59" max="16384" width="9.08984375" hidden="1"/>
  </cols>
  <sheetData>
    <row r="1" spans="1:56" s="119" customFormat="1" ht="14.5">
      <c r="A1" s="118" t="str" cm="1">
        <f t="array" aca="1" ref="A1" ca="1">MID(CELL("filename",$A$1),FIND("]",CELL("filename",$A$1))+1,255)</f>
        <v>TaxPools</v>
      </c>
      <c r="G1" s="119" t="s">
        <v>515</v>
      </c>
      <c r="H1" s="38" t="str">
        <f ca="1">Checks!I7</f>
        <v>ERROR</v>
      </c>
      <c r="AT1" s="124"/>
    </row>
    <row r="2" spans="1:56" s="119" customFormat="1" ht="15" customHeight="1">
      <c r="AT2" s="124"/>
    </row>
    <row r="3" spans="1:56" s="119" customFormat="1" ht="15" customHeight="1">
      <c r="E3" s="119" t="s">
        <v>0</v>
      </c>
      <c r="F3" s="119" t="s">
        <v>1</v>
      </c>
      <c r="G3" s="119" t="s">
        <v>2</v>
      </c>
      <c r="H3" s="119" t="s">
        <v>3</v>
      </c>
      <c r="I3" s="119" t="str">
        <f>NGT_TO!I3</f>
        <v>Constant</v>
      </c>
      <c r="AT3" s="124"/>
      <c r="AU3" s="122" t="str">
        <f>NGT_TO!AU3</f>
        <v>Annual values</v>
      </c>
    </row>
    <row r="4" spans="1:56" s="119" customFormat="1" ht="15" customHeight="1">
      <c r="D4" s="121" t="s">
        <v>421</v>
      </c>
      <c r="E4" s="119" t="s">
        <v>6</v>
      </c>
      <c r="K4" s="122">
        <f>NGT_TO!K4</f>
        <v>33328</v>
      </c>
      <c r="L4" s="122">
        <f>NGT_TO!L4</f>
        <v>33694</v>
      </c>
      <c r="M4" s="122">
        <f>NGT_TO!M4</f>
        <v>34059</v>
      </c>
      <c r="N4" s="122">
        <f>NGT_TO!N4</f>
        <v>34424</v>
      </c>
      <c r="O4" s="122">
        <f>NGT_TO!O4</f>
        <v>34789</v>
      </c>
      <c r="P4" s="122">
        <f>NGT_TO!P4</f>
        <v>35155</v>
      </c>
      <c r="Q4" s="122">
        <f>NGT_TO!Q4</f>
        <v>35520</v>
      </c>
      <c r="R4" s="122">
        <f>NGT_TO!R4</f>
        <v>35885</v>
      </c>
      <c r="S4" s="122">
        <f>NGT_TO!S4</f>
        <v>36250</v>
      </c>
      <c r="T4" s="122">
        <f>NGT_TO!T4</f>
        <v>36616</v>
      </c>
      <c r="U4" s="122">
        <f>NGT_TO!U4</f>
        <v>36981</v>
      </c>
      <c r="V4" s="122">
        <f>NGT_TO!V4</f>
        <v>37346</v>
      </c>
      <c r="W4" s="122">
        <f>NGT_TO!W4</f>
        <v>37711</v>
      </c>
      <c r="X4" s="122">
        <f>NGT_TO!X4</f>
        <v>38077</v>
      </c>
      <c r="Y4" s="122">
        <f>NGT_TO!Y4</f>
        <v>38442</v>
      </c>
      <c r="Z4" s="122">
        <f>NGT_TO!Z4</f>
        <v>38807</v>
      </c>
      <c r="AA4" s="122">
        <f>NGT_TO!AA4</f>
        <v>39172</v>
      </c>
      <c r="AB4" s="122">
        <f>NGT_TO!AB4</f>
        <v>39538</v>
      </c>
      <c r="AC4" s="122">
        <f>NGT_TO!AC4</f>
        <v>39903</v>
      </c>
      <c r="AD4" s="122">
        <f>NGT_TO!AD4</f>
        <v>40268</v>
      </c>
      <c r="AE4" s="122">
        <f>NGT_TO!AE4</f>
        <v>40633</v>
      </c>
      <c r="AF4" s="122">
        <f>NGT_TO!AF4</f>
        <v>40999</v>
      </c>
      <c r="AG4" s="122">
        <f>NGT_TO!AG4</f>
        <v>41364</v>
      </c>
      <c r="AH4" s="122">
        <f>NGT_TO!AH4</f>
        <v>41729</v>
      </c>
      <c r="AI4" s="122">
        <f>NGT_TO!AI4</f>
        <v>42094</v>
      </c>
      <c r="AJ4" s="122">
        <f>NGT_TO!AJ4</f>
        <v>42460</v>
      </c>
      <c r="AK4" s="122">
        <f>NGT_TO!AK4</f>
        <v>42825</v>
      </c>
      <c r="AL4" s="122">
        <f>NGT_TO!AL4</f>
        <v>43190</v>
      </c>
      <c r="AM4" s="122">
        <f>NGT_TO!AM4</f>
        <v>43555</v>
      </c>
      <c r="AN4" s="122">
        <f>NGT_TO!AN4</f>
        <v>43921</v>
      </c>
      <c r="AO4" s="122">
        <f>NGT_TO!AO4</f>
        <v>44286</v>
      </c>
      <c r="AP4" s="122">
        <f>NGT_TO!AP4</f>
        <v>44651</v>
      </c>
      <c r="AQ4" s="122">
        <f>NGT_TO!AQ4</f>
        <v>45016</v>
      </c>
      <c r="AR4" s="122">
        <f>NGT_TO!AR4</f>
        <v>45382</v>
      </c>
      <c r="AS4" s="122">
        <f>NGT_TO!AS4</f>
        <v>45747</v>
      </c>
      <c r="AT4" s="123">
        <f>NGT_TO!AT4</f>
        <v>46112</v>
      </c>
      <c r="AU4" s="122">
        <f>NGT_TO!AU4</f>
        <v>46477</v>
      </c>
      <c r="AV4" s="122">
        <f>NGT_TO!AV4</f>
        <v>46843</v>
      </c>
      <c r="AW4" s="122">
        <f>NGT_TO!AW4</f>
        <v>47208</v>
      </c>
      <c r="AX4" s="122">
        <f>NGT_TO!AX4</f>
        <v>47573</v>
      </c>
      <c r="AY4" s="122">
        <f>NGT_TO!AY4</f>
        <v>47938</v>
      </c>
      <c r="BA4" s="127" t="s">
        <v>527</v>
      </c>
      <c r="BB4" s="127" t="s">
        <v>528</v>
      </c>
      <c r="BC4" s="127" t="s">
        <v>529</v>
      </c>
      <c r="BD4" s="127" t="s">
        <v>530</v>
      </c>
    </row>
    <row r="5" spans="1:56">
      <c r="AP5" s="1"/>
      <c r="AQ5" s="1"/>
      <c r="AR5" s="1"/>
      <c r="AS5" s="1"/>
      <c r="AT5" s="100"/>
    </row>
    <row r="6" spans="1:56" ht="20" thickBot="1">
      <c r="A6" s="15" t="s">
        <v>400</v>
      </c>
      <c r="AP6" s="1"/>
      <c r="AQ6" s="1"/>
      <c r="AR6" s="1"/>
      <c r="AS6" s="1"/>
      <c r="AT6" s="100"/>
      <c r="AU6" s="1"/>
      <c r="AV6" s="1"/>
      <c r="AW6" s="1"/>
      <c r="AX6" s="1"/>
      <c r="AY6" s="1"/>
    </row>
    <row r="7" spans="1:56" ht="16.5" outlineLevel="1" thickTop="1">
      <c r="D7" s="1" t="str" cm="1">
        <f t="array" aca="1" ref="D7" ca="1">IFERROR(MID(_xlfn.FORMULATEXT(I7),FIND("=",_xlfn.FORMULATEXT(I7))+1,FIND("!",_xlfn.FORMULATEXT(I7))-2),MID(_xlfn.FORMULATEXT(INDEX(L7:AV7,MATCH(FALSE,ISBLANK(L7:AV7),0))),FIND("=",_xlfn.FORMULATEXT(INDEX(L7:AV7,MATCH(FALSE,ISBLANK(L7:AV7),0))))+1,FIND("!",_xlfn.FORMULATEXT(INDEX(L7:AV7,MATCH(FALSE,ISBLANK(L7:AV7),0))))-2))</f>
        <v>Totex</v>
      </c>
      <c r="E7" t="s">
        <v>8</v>
      </c>
      <c r="G7" t="str">
        <f t="shared" ref="G7" si="0">price_label</f>
        <v>£m 23/24 prices</v>
      </c>
      <c r="AU7" s="95">
        <f>Totex!AU96</f>
        <v>863.6341684972366</v>
      </c>
      <c r="AV7" s="69">
        <f>Totex!AV96</f>
        <v>1068.6032595256861</v>
      </c>
      <c r="AW7" s="69">
        <f>Totex!AW96</f>
        <v>1110.0029906540856</v>
      </c>
      <c r="AX7" s="69">
        <f>Totex!AX96</f>
        <v>813.40227445624998</v>
      </c>
      <c r="AY7" s="69">
        <f>Totex!AY96</f>
        <v>755.65763630077834</v>
      </c>
      <c r="BA7" s="44"/>
    </row>
    <row r="8" spans="1:56" outlineLevel="1">
      <c r="D8" s="1" t="str" cm="1">
        <f t="array" aca="1" ref="D8" ca="1">IFERROR(MID(_xlfn.FORMULATEXT(I8),FIND("=",_xlfn.FORMULATEXT(I8))+1,FIND("!",_xlfn.FORMULATEXT(I8))-2),MID(_xlfn.FORMULATEXT(INDEX(L8:AV8,MATCH(FALSE,ISBLANK(L8:AV8),0))),FIND("=",_xlfn.FORMULATEXT(INDEX(L8:AV8,MATCH(FALSE,ISBLANK(L8:AV8),0))))+1,FIND("!",_xlfn.FORMULATEXT(INDEX(L8:AV8,MATCH(FALSE,ISBLANK(L8:AV8),0))))-2))</f>
        <v>Transform_TO</v>
      </c>
      <c r="E8" t="s">
        <v>113</v>
      </c>
      <c r="G8" t="str">
        <f>price_label</f>
        <v>£m 23/24 prices</v>
      </c>
      <c r="AU8" s="95">
        <f>Transform_TO!AU110</f>
        <v>160.87582290317727</v>
      </c>
      <c r="AV8" s="69">
        <f>Transform_TO!AV110</f>
        <v>180.44504523643334</v>
      </c>
      <c r="AW8" s="69">
        <f>Transform_TO!AW110</f>
        <v>181.5976750063179</v>
      </c>
      <c r="AX8" s="69">
        <f>Transform_TO!AX110</f>
        <v>182.27238383084594</v>
      </c>
      <c r="AY8" s="69">
        <f>Transform_TO!AY110</f>
        <v>182.97387740890844</v>
      </c>
    </row>
    <row r="9" spans="1:56" outlineLevel="1">
      <c r="D9" s="1" t="str" cm="1">
        <f t="array" aca="1" ref="D9" ca="1">IFERROR(MID(_xlfn.FORMULATEXT(I9),FIND("=",_xlfn.FORMULATEXT(I9))+1,FIND("!",_xlfn.FORMULATEXT(I9))-2),MID(_xlfn.FORMULATEXT(INDEX(L9:AV9,MATCH(FALSE,ISBLANK(L9:AV9),0))),FIND("=",_xlfn.FORMULATEXT(INDEX(L9:AV9,MATCH(FALSE,ISBLANK(L9:AV9),0))))+1,FIND("!",_xlfn.FORMULATEXT(INDEX(L9:AV9,MATCH(FALSE,ISBLANK(L9:AV9),0))))-2))</f>
        <v>Transform_TO</v>
      </c>
      <c r="E9" t="s">
        <v>363</v>
      </c>
      <c r="G9" t="str">
        <f>price_label</f>
        <v>£m 23/24 prices</v>
      </c>
      <c r="AU9" s="95">
        <f>Transform_TO!AU120</f>
        <v>1.7683011558938189</v>
      </c>
      <c r="AV9" s="69">
        <f>Transform_TO!AV120</f>
        <v>7.6556799191598834</v>
      </c>
      <c r="AW9" s="69">
        <f>Transform_TO!AW120</f>
        <v>6.8417510297361384</v>
      </c>
      <c r="AX9" s="69">
        <f>Transform_TO!AX120</f>
        <v>6.7524487704685523</v>
      </c>
      <c r="AY9" s="69">
        <f>Transform_TO!AY120</f>
        <v>6.4173885687970484</v>
      </c>
    </row>
    <row r="10" spans="1:56" outlineLevel="1">
      <c r="D10" s="1"/>
    </row>
    <row r="11" spans="1:56" outlineLevel="1">
      <c r="D11" s="1" t="str" cm="1">
        <f t="array" aca="1" ref="D11" ca="1">IFERROR(MID(_xlfn.FORMULATEXT(I11),FIND("=",_xlfn.FORMULATEXT(I11))+1,FIND("!",_xlfn.FORMULATEXT(I11))-2),MID(_xlfn.FORMULATEXT(INDEX(L11:AV11,MATCH(FALSE,ISBLANK(L11:AV11),0))),FIND("=",_xlfn.FORMULATEXT(INDEX(L11:AV11,MATCH(FALSE,ISBLANK(L11:AV11),0))))+1,FIND("!",_xlfn.FORMULATEXT(INDEX(L11:AV11,MATCH(FALSE,ISBLANK(L11:AV11),0))))-2))</f>
        <v>Transform_TO</v>
      </c>
      <c r="E11" t="s">
        <v>32</v>
      </c>
      <c r="G11" t="s">
        <v>33</v>
      </c>
      <c r="AU11" s="99">
        <f>Transform_TO!AU143</f>
        <v>0.2824468960192833</v>
      </c>
      <c r="AV11" s="70">
        <f>Transform_TO!AV143</f>
        <v>0.29927741745379666</v>
      </c>
      <c r="AW11" s="70">
        <f>Transform_TO!AW143</f>
        <v>0.30151331543060544</v>
      </c>
      <c r="AX11" s="70">
        <f>Transform_TO!AX143</f>
        <v>0.27764872491088638</v>
      </c>
      <c r="AY11" s="70">
        <f>Transform_TO!AY143</f>
        <v>0.27211226674312117</v>
      </c>
    </row>
    <row r="12" spans="1:56" outlineLevel="1">
      <c r="D12" s="1" t="str" cm="1">
        <f t="array" aca="1" ref="D12" ca="1">IFERROR(MID(_xlfn.FORMULATEXT(I12),FIND("=",_xlfn.FORMULATEXT(I12))+1,FIND("!",_xlfn.FORMULATEXT(I12))-2),MID(_xlfn.FORMULATEXT(INDEX(L12:AV12,MATCH(FALSE,ISBLANK(L12:AV12),0))),FIND("=",_xlfn.FORMULATEXT(INDEX(L12:AV12,MATCH(FALSE,ISBLANK(L12:AV12),0))))+1,FIND("!",_xlfn.FORMULATEXT(INDEX(L12:AV12,MATCH(FALSE,ISBLANK(L12:AV12),0))))-2))</f>
        <v>Transform_TO</v>
      </c>
      <c r="E12" t="s">
        <v>342</v>
      </c>
      <c r="G12" t="s">
        <v>33</v>
      </c>
      <c r="AU12" s="99">
        <f>Transform_TO!AU144</f>
        <v>0.36920164562303565</v>
      </c>
      <c r="AV12" s="70">
        <f>Transform_TO!AV144</f>
        <v>0.3912017323575413</v>
      </c>
      <c r="AW12" s="70">
        <f>Transform_TO!AW144</f>
        <v>0.39412439578247993</v>
      </c>
      <c r="AX12" s="70">
        <f>Transform_TO!AX144</f>
        <v>0.36292969611972059</v>
      </c>
      <c r="AY12" s="70">
        <f>Transform_TO!AY144</f>
        <v>0.35569269158799988</v>
      </c>
    </row>
    <row r="13" spans="1:56" outlineLevel="1">
      <c r="D13" s="1" t="str" cm="1">
        <f t="array" aca="1" ref="D13" ca="1">IFERROR(MID(_xlfn.FORMULATEXT(I13),FIND("=",_xlfn.FORMULATEXT(I13))+1,FIND("!",_xlfn.FORMULATEXT(I13))-2),MID(_xlfn.FORMULATEXT(INDEX(L13:AV13,MATCH(FALSE,ISBLANK(L13:AV13),0))),FIND("=",_xlfn.FORMULATEXT(INDEX(L13:AV13,MATCH(FALSE,ISBLANK(L13:AV13),0))))+1,FIND("!",_xlfn.FORMULATEXT(INDEX(L13:AV13,MATCH(FALSE,ISBLANK(L13:AV13),0))))-2))</f>
        <v>Transform_TO</v>
      </c>
      <c r="E13" t="s">
        <v>35</v>
      </c>
      <c r="G13" t="s">
        <v>33</v>
      </c>
      <c r="AU13" s="99">
        <f>Transform_TO!AU145</f>
        <v>3.8270772555380222E-2</v>
      </c>
      <c r="AV13" s="70">
        <f>Transform_TO!AV145</f>
        <v>4.0551261620357382E-2</v>
      </c>
      <c r="AW13" s="70">
        <f>Transform_TO!AW145</f>
        <v>4.0854219606915113E-2</v>
      </c>
      <c r="AX13" s="70">
        <f>Transform_TO!AX145</f>
        <v>3.7620633652247375E-2</v>
      </c>
      <c r="AY13" s="70">
        <f>Transform_TO!AY145</f>
        <v>3.6870458896259076E-2</v>
      </c>
    </row>
    <row r="14" spans="1:56" outlineLevel="1">
      <c r="D14" s="1" t="str" cm="1">
        <f t="array" aca="1" ref="D14" ca="1">IFERROR(MID(_xlfn.FORMULATEXT(I14),FIND("=",_xlfn.FORMULATEXT(I14))+1,FIND("!",_xlfn.FORMULATEXT(I14))-2),MID(_xlfn.FORMULATEXT(INDEX(L14:AV14,MATCH(FALSE,ISBLANK(L14:AV14),0))),FIND("=",_xlfn.FORMULATEXT(INDEX(L14:AV14,MATCH(FALSE,ISBLANK(L14:AV14),0))))+1,FIND("!",_xlfn.FORMULATEXT(INDEX(L14:AV14,MATCH(FALSE,ISBLANK(L14:AV14),0))))-2))</f>
        <v>Transform_TO</v>
      </c>
      <c r="E14" t="s">
        <v>36</v>
      </c>
      <c r="G14" t="s">
        <v>33</v>
      </c>
      <c r="AU14" s="99">
        <f>Transform_TO!AU146</f>
        <v>1.5376978456638426E-2</v>
      </c>
      <c r="AV14" s="70">
        <f>Transform_TO!AV146</f>
        <v>1.6293265975318875E-2</v>
      </c>
      <c r="AW14" s="70">
        <f>Transform_TO!AW146</f>
        <v>1.641499276893987E-2</v>
      </c>
      <c r="AX14" s="70">
        <f>Transform_TO!AX146</f>
        <v>1.5115756347969732E-2</v>
      </c>
      <c r="AY14" s="70">
        <f>Transform_TO!AY146</f>
        <v>1.4814340403338523E-2</v>
      </c>
    </row>
    <row r="15" spans="1:56" outlineLevel="1">
      <c r="A15" s="1"/>
      <c r="D15" s="1" t="str" cm="1">
        <f t="array" aca="1" ref="D15" ca="1">IFERROR(MID(_xlfn.FORMULATEXT(I15),FIND("=",_xlfn.FORMULATEXT(I15))+1,FIND("!",_xlfn.FORMULATEXT(I15))-2),MID(_xlfn.FORMULATEXT(INDEX(L15:AV15,MATCH(FALSE,ISBLANK(L15:AV15),0))),FIND("=",_xlfn.FORMULATEXT(INDEX(L15:AV15,MATCH(FALSE,ISBLANK(L15:AV15),0))))+1,FIND("!",_xlfn.FORMULATEXT(INDEX(L15:AV15,MATCH(FALSE,ISBLANK(L15:AV15),0))))-2))</f>
        <v>Transform_TO</v>
      </c>
      <c r="E15" t="s">
        <v>38</v>
      </c>
      <c r="G15" t="s">
        <v>33</v>
      </c>
      <c r="AU15" s="99">
        <f>Transform_TO!AU147</f>
        <v>4.5118378636812215E-2</v>
      </c>
      <c r="AV15" s="70">
        <f>Transform_TO!AV147</f>
        <v>4.7806904690522206E-2</v>
      </c>
      <c r="AW15" s="70">
        <f>Transform_TO!AW147</f>
        <v>4.8164069498961286E-2</v>
      </c>
      <c r="AX15" s="70">
        <f>Transform_TO!AX147</f>
        <v>4.4351913492801265E-2</v>
      </c>
      <c r="AY15" s="70">
        <f>Transform_TO!AY147</f>
        <v>4.346751355978503E-2</v>
      </c>
    </row>
    <row r="16" spans="1:56" outlineLevel="1">
      <c r="D16" s="1" t="str" cm="1">
        <f t="array" aca="1" ref="D16" ca="1">IFERROR(MID(_xlfn.FORMULATEXT(I16),FIND("=",_xlfn.FORMULATEXT(I16))+1,FIND("!",_xlfn.FORMULATEXT(I16))-2),MID(_xlfn.FORMULATEXT(INDEX(L16:AV16,MATCH(FALSE,ISBLANK(L16:AV16),0))),FIND("=",_xlfn.FORMULATEXT(INDEX(L16:AV16,MATCH(FALSE,ISBLANK(L16:AV16),0))))+1,FIND("!",_xlfn.FORMULATEXT(INDEX(L16:AV16,MATCH(FALSE,ISBLANK(L16:AV16),0))))-2))</f>
        <v>Transform_TO</v>
      </c>
      <c r="E16" t="s">
        <v>37</v>
      </c>
      <c r="G16" t="s">
        <v>33</v>
      </c>
      <c r="AU16" s="99">
        <f>Transform_TO!AU148</f>
        <v>0.24959269499254444</v>
      </c>
      <c r="AV16" s="70">
        <f>Transform_TO!AV148</f>
        <v>0.20487722313024759</v>
      </c>
      <c r="AW16" s="70">
        <f>Transform_TO!AW148</f>
        <v>0.1989368704526448</v>
      </c>
      <c r="AX16" s="70">
        <f>Transform_TO!AX148</f>
        <v>0.26234051662260038</v>
      </c>
      <c r="AY16" s="70">
        <f>Transform_TO!AY148</f>
        <v>0.27704982556354735</v>
      </c>
    </row>
    <row r="17" spans="4:51" outlineLevel="1"/>
    <row r="18" spans="4:51" outlineLevel="1">
      <c r="D18" s="1" t="str" cm="1">
        <f t="array" aca="1" ref="D18" ca="1">IFERROR(MID(_xlfn.FORMULATEXT(I18),FIND("=",_xlfn.FORMULATEXT(I18))+1,FIND("!",_xlfn.FORMULATEXT(I18))-2),MID(_xlfn.FORMULATEXT(INDEX(L18:AV18,MATCH(FALSE,ISBLANK(L18:AV18),0))),FIND("=",_xlfn.FORMULATEXT(INDEX(L18:AV18,MATCH(FALSE,ISBLANK(L18:AV18),0))))+1,FIND("!",_xlfn.FORMULATEXT(INDEX(L18:AV18,MATCH(FALSE,ISBLANK(L18:AV18),0))))-2))</f>
        <v>Transform_TO</v>
      </c>
      <c r="E18" t="s">
        <v>29</v>
      </c>
      <c r="G18" t="str">
        <f t="shared" ref="G18:G32" si="1">nominal</f>
        <v>£m nominal</v>
      </c>
      <c r="AU18" s="95">
        <f>Transform_TO!AU123</f>
        <v>320.67244916379758</v>
      </c>
    </row>
    <row r="19" spans="4:51" outlineLevel="1">
      <c r="D19" s="1" t="str" cm="1">
        <f t="array" aca="1" ref="D19" ca="1">IFERROR(MID(_xlfn.FORMULATEXT(I19),FIND("=",_xlfn.FORMULATEXT(I19))+1,FIND("!",_xlfn.FORMULATEXT(I19))-2),MID(_xlfn.FORMULATEXT(INDEX(L19:AV19,MATCH(FALSE,ISBLANK(L19:AV19),0))),FIND("=",_xlfn.FORMULATEXT(INDEX(L19:AV19,MATCH(FALSE,ISBLANK(L19:AV19),0))))+1,FIND("!",_xlfn.FORMULATEXT(INDEX(L19:AV19,MATCH(FALSE,ISBLANK(L19:AV19),0))))-2))</f>
        <v>Transform_TO</v>
      </c>
      <c r="E19" t="s">
        <v>340</v>
      </c>
      <c r="G19" t="str">
        <f>nominal</f>
        <v>£m nominal</v>
      </c>
      <c r="AU19" s="95">
        <f>Transform_TO!AU124</f>
        <v>-219.047</v>
      </c>
    </row>
    <row r="20" spans="4:51" outlineLevel="1">
      <c r="D20" s="1" t="str" cm="1">
        <f t="array" aca="1" ref="D20" ca="1">IFERROR(MID(_xlfn.FORMULATEXT(I20),FIND("=",_xlfn.FORMULATEXT(I20))+1,FIND("!",_xlfn.FORMULATEXT(I20))-2),MID(_xlfn.FORMULATEXT(INDEX(L20:AV20,MATCH(FALSE,ISBLANK(L20:AV20),0))),FIND("=",_xlfn.FORMULATEXT(INDEX(L20:AV20,MATCH(FALSE,ISBLANK(L20:AV20),0))))+1,FIND("!",_xlfn.FORMULATEXT(INDEX(L20:AV20,MATCH(FALSE,ISBLANK(L20:AV20),0))))-2))</f>
        <v>Transform_TO</v>
      </c>
      <c r="E20" t="s">
        <v>344</v>
      </c>
      <c r="G20" t="s">
        <v>33</v>
      </c>
      <c r="AU20" s="99">
        <f>Transform_TO!AU125</f>
        <v>1</v>
      </c>
      <c r="AV20" s="70">
        <f>Transform_TO!AV125</f>
        <v>1</v>
      </c>
      <c r="AW20" s="70">
        <f>Transform_TO!AW125</f>
        <v>1</v>
      </c>
      <c r="AX20" s="70">
        <f>Transform_TO!AX125</f>
        <v>1</v>
      </c>
      <c r="AY20" s="70">
        <f>Transform_TO!AY125</f>
        <v>1</v>
      </c>
    </row>
    <row r="21" spans="4:51" outlineLevel="1">
      <c r="D21" s="1" t="str" cm="1">
        <f t="array" aca="1" ref="D21" ca="1">IFERROR(MID(_xlfn.FORMULATEXT(I21),FIND("=",_xlfn.FORMULATEXT(I21))+1,FIND("!",_xlfn.FORMULATEXT(I21))-2),MID(_xlfn.FORMULATEXT(INDEX(L21:AV21,MATCH(FALSE,ISBLANK(L21:AV21),0))),FIND("=",_xlfn.FORMULATEXT(INDEX(L21:AV21,MATCH(FALSE,ISBLANK(L21:AV21),0))))+1,FIND("!",_xlfn.FORMULATEXT(INDEX(L21:AV21,MATCH(FALSE,ISBLANK(L21:AV21),0))))-2))</f>
        <v>Transform_TO</v>
      </c>
      <c r="E21" t="s">
        <v>86</v>
      </c>
      <c r="G21" t="s">
        <v>33</v>
      </c>
      <c r="J21" s="1"/>
      <c r="AU21" s="99">
        <f>Transform_TO!AU126</f>
        <v>0.14000000000000001</v>
      </c>
      <c r="AV21" s="70">
        <f>Transform_TO!AV126</f>
        <v>0.14000000000000001</v>
      </c>
      <c r="AW21" s="70">
        <f>Transform_TO!AW126</f>
        <v>0.14000000000000001</v>
      </c>
      <c r="AX21" s="70">
        <f>Transform_TO!AX126</f>
        <v>0.14000000000000001</v>
      </c>
      <c r="AY21" s="70">
        <f>Transform_TO!AY126</f>
        <v>0.14000000000000001</v>
      </c>
    </row>
    <row r="22" spans="4:51" outlineLevel="1">
      <c r="D22" s="1" t="str" cm="1">
        <f t="array" aca="1" ref="D22" ca="1">IFERROR(MID(_xlfn.FORMULATEXT(I22),FIND("=",_xlfn.FORMULATEXT(I22))+1,FIND("!",_xlfn.FORMULATEXT(I22))-2),MID(_xlfn.FORMULATEXT(INDEX(L22:AV22,MATCH(FALSE,ISBLANK(L22:AV22),0))),FIND("=",_xlfn.FORMULATEXT(INDEX(L22:AV22,MATCH(FALSE,ISBLANK(L22:AV22),0))))+1,FIND("!",_xlfn.FORMULATEXT(INDEX(L22:AV22,MATCH(FALSE,ISBLANK(L22:AV22),0))))-2))</f>
        <v>Transform_TO</v>
      </c>
      <c r="E22" t="s">
        <v>345</v>
      </c>
      <c r="G22" t="s">
        <v>33</v>
      </c>
      <c r="AU22" s="99">
        <f>Transform_TO!AU127</f>
        <v>1</v>
      </c>
      <c r="AV22" s="70">
        <f>Transform_TO!AV127</f>
        <v>1</v>
      </c>
      <c r="AW22" s="70">
        <f>Transform_TO!AW127</f>
        <v>1</v>
      </c>
      <c r="AX22" s="70">
        <f>Transform_TO!AX127</f>
        <v>1</v>
      </c>
      <c r="AY22" s="70">
        <f>Transform_TO!AY127</f>
        <v>1</v>
      </c>
    </row>
    <row r="23" spans="4:51" outlineLevel="1">
      <c r="D23" s="1" t="str" cm="1">
        <f t="array" aca="1" ref="D23" ca="1">IFERROR(MID(_xlfn.FORMULATEXT(I23),FIND("=",_xlfn.FORMULATEXT(I23))+1,FIND("!",_xlfn.FORMULATEXT(I23))-2),MID(_xlfn.FORMULATEXT(INDEX(L23:AV23,MATCH(FALSE,ISBLANK(L23:AV23),0))),FIND("=",_xlfn.FORMULATEXT(INDEX(L23:AV23,MATCH(FALSE,ISBLANK(L23:AV23),0))))+1,FIND("!",_xlfn.FORMULATEXT(INDEX(L23:AV23,MATCH(FALSE,ISBLANK(L23:AV23),0))))-2))</f>
        <v>Transform_TO</v>
      </c>
      <c r="E23" t="s">
        <v>718</v>
      </c>
      <c r="G23" t="str">
        <f t="shared" si="1"/>
        <v>£m nominal</v>
      </c>
      <c r="AU23" s="95">
        <f>Transform_TO!AU129</f>
        <v>2093.8684751496303</v>
      </c>
    </row>
    <row r="24" spans="4:51" outlineLevel="1">
      <c r="D24" s="1" t="str" cm="1">
        <f t="array" aca="1" ref="D24" ca="1">IFERROR(MID(_xlfn.FORMULATEXT(I24),FIND("=",_xlfn.FORMULATEXT(I24))+1,FIND("!",_xlfn.FORMULATEXT(I24))-2),MID(_xlfn.FORMULATEXT(INDEX(L24:AV24,MATCH(FALSE,ISBLANK(L24:AV24),0))),FIND("=",_xlfn.FORMULATEXT(INDEX(L24:AV24,MATCH(FALSE,ISBLANK(L24:AV24),0))))+1,FIND("!",_xlfn.FORMULATEXT(INDEX(L24:AV24,MATCH(FALSE,ISBLANK(L24:AV24),0))))-2))</f>
        <v>Transform_TO</v>
      </c>
      <c r="E24" t="s">
        <v>717</v>
      </c>
      <c r="G24" t="str">
        <f>nominal</f>
        <v>£m nominal</v>
      </c>
      <c r="AU24" s="95">
        <f>Transform_TO!AU130</f>
        <v>-210.34763581310202</v>
      </c>
    </row>
    <row r="25" spans="4:51" outlineLevel="1">
      <c r="D25" s="1" t="str" cm="1">
        <f t="array" aca="1" ref="D25" ca="1">IFERROR(MID(_xlfn.FORMULATEXT(I25),FIND("=",_xlfn.FORMULATEXT(I25))+1,FIND("!",_xlfn.FORMULATEXT(I25))-2),MID(_xlfn.FORMULATEXT(INDEX(L25:AV25,MATCH(FALSE,ISBLANK(L25:AV25),0))),FIND("=",_xlfn.FORMULATEXT(INDEX(L25:AV25,MATCH(FALSE,ISBLANK(L25:AV25),0))))+1,FIND("!",_xlfn.FORMULATEXT(INDEX(L25:AV25,MATCH(FALSE,ISBLANK(L25:AV25),0))))-2))</f>
        <v>Transform_TO</v>
      </c>
      <c r="E25" t="s">
        <v>722</v>
      </c>
      <c r="G25" t="s">
        <v>33</v>
      </c>
      <c r="AU25" s="99">
        <f>Transform_TO!AU131</f>
        <v>1</v>
      </c>
      <c r="AV25" s="70">
        <f>Transform_TO!AV131</f>
        <v>1</v>
      </c>
      <c r="AW25" s="70">
        <f>Transform_TO!AW131</f>
        <v>1</v>
      </c>
      <c r="AX25" s="70">
        <f>Transform_TO!AX131</f>
        <v>1</v>
      </c>
      <c r="AY25" s="70">
        <f>Transform_TO!AY131</f>
        <v>1</v>
      </c>
    </row>
    <row r="26" spans="4:51" outlineLevel="1">
      <c r="D26" s="1" t="str" cm="1">
        <f t="array" aca="1" ref="D26" ca="1">IFERROR(MID(_xlfn.FORMULATEXT(I26),FIND("=",_xlfn.FORMULATEXT(I26))+1,FIND("!",_xlfn.FORMULATEXT(I26))-2),MID(_xlfn.FORMULATEXT(INDEX(L26:AV26,MATCH(FALSE,ISBLANK(L26:AV26),0))),FIND("=",_xlfn.FORMULATEXT(INDEX(L26:AV26,MATCH(FALSE,ISBLANK(L26:AV26),0))))+1,FIND("!",_xlfn.FORMULATEXT(INDEX(L26:AV26,MATCH(FALSE,ISBLANK(L26:AV26),0))))-2))</f>
        <v>Transform_TO</v>
      </c>
      <c r="E26" t="s">
        <v>727</v>
      </c>
      <c r="G26" t="s">
        <v>33</v>
      </c>
      <c r="AU26" s="99">
        <f>Transform_TO!AU132</f>
        <v>0.06</v>
      </c>
      <c r="AV26" s="70">
        <f>Transform_TO!AV132</f>
        <v>0.06</v>
      </c>
      <c r="AW26" s="70">
        <f>Transform_TO!AW132</f>
        <v>0.06</v>
      </c>
      <c r="AX26" s="70">
        <f>Transform_TO!AX132</f>
        <v>0.06</v>
      </c>
      <c r="AY26" s="70">
        <f>Transform_TO!AY132</f>
        <v>0.06</v>
      </c>
    </row>
    <row r="27" spans="4:51" outlineLevel="1">
      <c r="D27" s="1" t="str" cm="1">
        <f t="array" aca="1" ref="D27" ca="1">IFERROR(MID(_xlfn.FORMULATEXT(I27),FIND("=",_xlfn.FORMULATEXT(I27))+1,FIND("!",_xlfn.FORMULATEXT(I27))-2),MID(_xlfn.FORMULATEXT(INDEX(L27:AV27,MATCH(FALSE,ISBLANK(L27:AV27),0))),FIND("=",_xlfn.FORMULATEXT(INDEX(L27:AV27,MATCH(FALSE,ISBLANK(L27:AV27),0))))+1,FIND("!",_xlfn.FORMULATEXT(INDEX(L27:AV27,MATCH(FALSE,ISBLANK(L27:AV27),0))))-2))</f>
        <v>Transform_TO</v>
      </c>
      <c r="E27" t="s">
        <v>721</v>
      </c>
      <c r="G27" t="s">
        <v>33</v>
      </c>
      <c r="AU27" s="99">
        <f>Transform_TO!AU133</f>
        <v>0.5</v>
      </c>
      <c r="AV27" s="70">
        <f>Transform_TO!AV133</f>
        <v>0.5</v>
      </c>
      <c r="AW27" s="70">
        <f>Transform_TO!AW133</f>
        <v>0.5</v>
      </c>
      <c r="AX27" s="70">
        <f>Transform_TO!AX133</f>
        <v>0.5</v>
      </c>
      <c r="AY27" s="70">
        <f>Transform_TO!AY133</f>
        <v>0.5</v>
      </c>
    </row>
    <row r="28" spans="4:51" outlineLevel="1">
      <c r="D28" s="1" t="str" cm="1">
        <f t="array" aca="1" ref="D28" ca="1">IFERROR(MID(_xlfn.FORMULATEXT(I28),FIND("=",_xlfn.FORMULATEXT(I28))+1,FIND("!",_xlfn.FORMULATEXT(I28))-2),MID(_xlfn.FORMULATEXT(INDEX(L28:AV28,MATCH(FALSE,ISBLANK(L28:AV28),0))),FIND("=",_xlfn.FORMULATEXT(INDEX(L28:AV28,MATCH(FALSE,ISBLANK(L28:AV28),0))))+1,FIND("!",_xlfn.FORMULATEXT(INDEX(L28:AV28,MATCH(FALSE,ISBLANK(L28:AV28),0))))-2))</f>
        <v>Transform_TO</v>
      </c>
      <c r="E28" t="s">
        <v>719</v>
      </c>
      <c r="G28" t="str">
        <f t="shared" si="1"/>
        <v>£m nominal</v>
      </c>
      <c r="AU28" s="95">
        <f>Transform_TO!AU135</f>
        <v>12.25226183603101</v>
      </c>
    </row>
    <row r="29" spans="4:51" outlineLevel="1">
      <c r="D29" s="1" t="str" cm="1">
        <f t="array" aca="1" ref="D29" ca="1">IFERROR(MID(_xlfn.FORMULATEXT(I29),FIND("=",_xlfn.FORMULATEXT(I29))+1,FIND("!",_xlfn.FORMULATEXT(I29))-2),MID(_xlfn.FORMULATEXT(INDEX(L29:AV29,MATCH(FALSE,ISBLANK(L29:AV29),0))),FIND("=",_xlfn.FORMULATEXT(INDEX(L29:AV29,MATCH(FALSE,ISBLANK(L29:AV29),0))))+1,FIND("!",_xlfn.FORMULATEXT(INDEX(L29:AV29,MATCH(FALSE,ISBLANK(L29:AV29),0))))-2))</f>
        <v>Transform_TO</v>
      </c>
      <c r="E29" t="s">
        <v>807</v>
      </c>
      <c r="G29" t="str">
        <f t="shared" si="1"/>
        <v>£m nominal</v>
      </c>
      <c r="J29" t="s">
        <v>10</v>
      </c>
      <c r="AT29" s="190">
        <f>Transform_TO!AT136</f>
        <v>13.364857720414665</v>
      </c>
    </row>
    <row r="30" spans="4:51" outlineLevel="1">
      <c r="D30" s="1" t="str" cm="1">
        <f t="array" aca="1" ref="D30" ca="1">IFERROR(MID(_xlfn.FORMULATEXT(I30),FIND("=",_xlfn.FORMULATEXT(I30))+1,FIND("!",_xlfn.FORMULATEXT(I30))-2),MID(_xlfn.FORMULATEXT(INDEX(L30:AV30,MATCH(FALSE,ISBLANK(L30:AV30),0))),FIND("=",_xlfn.FORMULATEXT(INDEX(L30:AV30,MATCH(FALSE,ISBLANK(L30:AV30),0))))+1,FIND("!",_xlfn.FORMULATEXT(INDEX(L30:AV30,MATCH(FALSE,ISBLANK(L30:AV30),0))))-2))</f>
        <v>Transform_TO</v>
      </c>
      <c r="E30" t="s">
        <v>723</v>
      </c>
      <c r="G30" t="s">
        <v>33</v>
      </c>
      <c r="AU30" s="99">
        <f>Transform_TO!AU137</f>
        <v>0.03</v>
      </c>
      <c r="AV30" s="70">
        <f>Transform_TO!AV137</f>
        <v>0.03</v>
      </c>
      <c r="AW30" s="70">
        <f>Transform_TO!AW137</f>
        <v>0.03</v>
      </c>
      <c r="AX30" s="70">
        <f>Transform_TO!AX137</f>
        <v>0.03</v>
      </c>
      <c r="AY30" s="70">
        <f>Transform_TO!AY137</f>
        <v>0.03</v>
      </c>
    </row>
    <row r="31" spans="4:51" outlineLevel="1">
      <c r="D31" s="1" t="str" cm="1">
        <f t="array" aca="1" ref="D31" ca="1">IFERROR(MID(_xlfn.FORMULATEXT(I31),FIND("=",_xlfn.FORMULATEXT(I31))+1,FIND("!",_xlfn.FORMULATEXT(I31))-2),MID(_xlfn.FORMULATEXT(INDEX(L31:AV31,MATCH(FALSE,ISBLANK(L31:AV31),0))),FIND("=",_xlfn.FORMULATEXT(INDEX(L31:AV31,MATCH(FALSE,ISBLANK(L31:AV31),0))))+1,FIND("!",_xlfn.FORMULATEXT(INDEX(L31:AV31,MATCH(FALSE,ISBLANK(L31:AV31),0))))-2))</f>
        <v>Transform_TO</v>
      </c>
      <c r="E31" t="s">
        <v>720</v>
      </c>
      <c r="G31" t="str">
        <f t="shared" si="1"/>
        <v>£m nominal</v>
      </c>
      <c r="AU31" s="95">
        <f>Transform_TO!AU139</f>
        <v>2.195185582472611</v>
      </c>
    </row>
    <row r="32" spans="4:51" outlineLevel="1">
      <c r="D32" s="1" t="str" cm="1">
        <f t="array" aca="1" ref="D32" ca="1">IFERROR(MID(_xlfn.FORMULATEXT(I32),FIND("=",_xlfn.FORMULATEXT(I32))+1,FIND("!",_xlfn.FORMULATEXT(I32))-2),MID(_xlfn.FORMULATEXT(INDEX(L32:AV32,MATCH(FALSE,ISBLANK(L32:AV32),0))),FIND("=",_xlfn.FORMULATEXT(INDEX(L32:AV32,MATCH(FALSE,ISBLANK(L32:AV32),0))))+1,FIND("!",_xlfn.FORMULATEXT(INDEX(L32:AV32,MATCH(FALSE,ISBLANK(L32:AV32),0))))-2))</f>
        <v>Transform_TO</v>
      </c>
      <c r="E32" t="s">
        <v>806</v>
      </c>
      <c r="G32" t="str">
        <f t="shared" si="1"/>
        <v>£m nominal</v>
      </c>
      <c r="J32" t="s">
        <v>10</v>
      </c>
      <c r="AT32" s="104">
        <f>Transform_TO!AT140</f>
        <v>2.2275469598115083</v>
      </c>
    </row>
    <row r="33" spans="1:54" outlineLevel="1">
      <c r="D33" s="1" t="str" cm="1">
        <f t="array" aca="1" ref="D33" ca="1">IFERROR(MID(_xlfn.FORMULATEXT(I33),FIND("=",_xlfn.FORMULATEXT(I33))+1,FIND("!",_xlfn.FORMULATEXT(I33))-2),MID(_xlfn.FORMULATEXT(INDEX(L33:AV33,MATCH(FALSE,ISBLANK(L33:AV33),0))),FIND("=",_xlfn.FORMULATEXT(INDEX(L33:AV33,MATCH(FALSE,ISBLANK(L33:AV33),0))))+1,FIND("!",_xlfn.FORMULATEXT(INDEX(L33:AV33,MATCH(FALSE,ISBLANK(L33:AV33),0))))-2))</f>
        <v>Transform_TO</v>
      </c>
      <c r="E33" t="s">
        <v>724</v>
      </c>
      <c r="G33" t="s">
        <v>33</v>
      </c>
      <c r="AU33" s="99">
        <f>Transform_TO!AU141</f>
        <v>2.2200000000000001E-2</v>
      </c>
      <c r="AV33" s="70">
        <f>Transform_TO!AV141</f>
        <v>2.2200000000000001E-2</v>
      </c>
      <c r="AW33" s="70">
        <f>Transform_TO!AW141</f>
        <v>2.2200000000000001E-2</v>
      </c>
      <c r="AX33" s="70">
        <f>Transform_TO!AX141</f>
        <v>2.2200000000000001E-2</v>
      </c>
      <c r="AY33" s="70">
        <f>Transform_TO!AY141</f>
        <v>2.2200000000000001E-2</v>
      </c>
    </row>
    <row r="34" spans="1:54">
      <c r="D34" s="1"/>
    </row>
    <row r="35" spans="1:54" ht="20" thickBot="1">
      <c r="A35" s="15" t="s">
        <v>168</v>
      </c>
      <c r="BA35" s="44"/>
    </row>
    <row r="36" spans="1:54" ht="16.5" thickTop="1">
      <c r="E36" t="s">
        <v>8</v>
      </c>
      <c r="G36" t="str">
        <f>price_label</f>
        <v>£m 23/24 prices</v>
      </c>
      <c r="AU36" s="96">
        <f>AU7</f>
        <v>863.6341684972366</v>
      </c>
      <c r="AV36" s="61">
        <f t="shared" ref="AV36:AY36" si="2">AV7</f>
        <v>1068.6032595256861</v>
      </c>
      <c r="AW36" s="61">
        <f t="shared" si="2"/>
        <v>1110.0029906540856</v>
      </c>
      <c r="AX36" s="61">
        <f t="shared" si="2"/>
        <v>813.40227445624998</v>
      </c>
      <c r="AY36" s="61">
        <f t="shared" si="2"/>
        <v>755.65763630077834</v>
      </c>
      <c r="BA36" s="44" t="str">
        <f ca="1">$A$1</f>
        <v>TaxPools</v>
      </c>
      <c r="BB36" s="1" t="str">
        <f>$A$35</f>
        <v>Tax pool additions</v>
      </c>
    </row>
    <row r="37" spans="1:54">
      <c r="E37" t="s">
        <v>375</v>
      </c>
      <c r="G37" t="str">
        <f>price_label</f>
        <v>£m 23/24 prices</v>
      </c>
      <c r="AU37" s="96">
        <f>SUM(AU8:AU9)</f>
        <v>162.64412405907109</v>
      </c>
      <c r="AV37" s="61">
        <f>SUM(AV8:AV9)</f>
        <v>188.10072515559324</v>
      </c>
      <c r="AW37" s="61">
        <f>SUM(AW8:AW9)</f>
        <v>188.43942603605404</v>
      </c>
      <c r="AX37" s="61">
        <f>SUM(AX8:AX9)</f>
        <v>189.0248326013145</v>
      </c>
      <c r="AY37" s="61">
        <f>SUM(AY8:AY9)</f>
        <v>189.39126597770547</v>
      </c>
      <c r="BA37" s="44" t="str">
        <f t="shared" ref="BA37:BA100" ca="1" si="3">$A$1</f>
        <v>TaxPools</v>
      </c>
      <c r="BB37" s="1" t="str">
        <f>$A$35</f>
        <v>Tax pool additions</v>
      </c>
    </row>
    <row r="38" spans="1:54">
      <c r="AU38" s="3"/>
      <c r="AV38" s="3"/>
      <c r="AW38" s="3"/>
      <c r="AX38" s="3"/>
      <c r="AY38" s="3"/>
      <c r="BA38" s="44"/>
    </row>
    <row r="39" spans="1:54" ht="20" thickBot="1">
      <c r="A39" s="15" t="s">
        <v>169</v>
      </c>
      <c r="AU39" s="3"/>
      <c r="AV39" s="3"/>
      <c r="AW39" s="3"/>
      <c r="AX39" s="3"/>
      <c r="AY39" s="3"/>
      <c r="BA39" s="44"/>
    </row>
    <row r="40" spans="1:54" ht="16.5" thickTop="1">
      <c r="E40" t="s">
        <v>170</v>
      </c>
      <c r="G40" t="str">
        <f t="shared" ref="G40:G45" si="4">price_label</f>
        <v>£m 23/24 prices</v>
      </c>
      <c r="AU40" s="96">
        <f t="shared" ref="AU40:AY44" si="5">AU$36*AU11</f>
        <v>243.93079018823917</v>
      </c>
      <c r="AV40" s="61">
        <f t="shared" si="5"/>
        <v>319.80882379355654</v>
      </c>
      <c r="AW40" s="61">
        <f t="shared" si="5"/>
        <v>334.68068185000067</v>
      </c>
      <c r="AX40" s="61">
        <f t="shared" si="5"/>
        <v>225.84010434239266</v>
      </c>
      <c r="AY40" s="61">
        <f t="shared" si="5"/>
        <v>205.62371229555384</v>
      </c>
      <c r="BA40" s="44" t="str">
        <f t="shared" ca="1" si="3"/>
        <v>TaxPools</v>
      </c>
      <c r="BB40" s="1" t="str">
        <f>$A$39</f>
        <v>Tax pool allocation</v>
      </c>
    </row>
    <row r="41" spans="1:54">
      <c r="E41" t="s">
        <v>171</v>
      </c>
      <c r="G41" t="str">
        <f t="shared" si="4"/>
        <v>£m 23/24 prices</v>
      </c>
      <c r="AU41" s="96">
        <f t="shared" si="5"/>
        <v>318.85515622546183</v>
      </c>
      <c r="AV41" s="61">
        <f t="shared" si="5"/>
        <v>418.03944632936367</v>
      </c>
      <c r="AW41" s="61">
        <f t="shared" si="5"/>
        <v>437.47925800828722</v>
      </c>
      <c r="AX41" s="61">
        <f t="shared" si="5"/>
        <v>295.20784029149638</v>
      </c>
      <c r="AY41" s="61">
        <f t="shared" si="5"/>
        <v>268.78189857484972</v>
      </c>
      <c r="BA41" s="44" t="str">
        <f t="shared" ca="1" si="3"/>
        <v>TaxPools</v>
      </c>
      <c r="BB41" s="1" t="str">
        <f t="shared" ref="BB41:BB45" si="6">$A$39</f>
        <v>Tax pool allocation</v>
      </c>
    </row>
    <row r="42" spans="1:54">
      <c r="E42" t="s">
        <v>172</v>
      </c>
      <c r="G42" t="str">
        <f t="shared" si="4"/>
        <v>£m 23/24 prices</v>
      </c>
      <c r="AU42" s="96">
        <f t="shared" si="5"/>
        <v>33.051946833612661</v>
      </c>
      <c r="AV42" s="61">
        <f t="shared" si="5"/>
        <v>43.33321034539275</v>
      </c>
      <c r="AW42" s="61">
        <f t="shared" si="5"/>
        <v>45.348305944514557</v>
      </c>
      <c r="AX42" s="61">
        <f t="shared" si="5"/>
        <v>30.600708979223352</v>
      </c>
      <c r="AY42" s="61">
        <f t="shared" si="5"/>
        <v>27.861443818872139</v>
      </c>
      <c r="BA42" s="44" t="str">
        <f t="shared" ca="1" si="3"/>
        <v>TaxPools</v>
      </c>
      <c r="BB42" s="1" t="str">
        <f t="shared" si="6"/>
        <v>Tax pool allocation</v>
      </c>
    </row>
    <row r="43" spans="1:54">
      <c r="E43" t="s">
        <v>173</v>
      </c>
      <c r="G43" t="str">
        <f t="shared" si="4"/>
        <v>£m 23/24 prices</v>
      </c>
      <c r="AU43" s="96">
        <f t="shared" si="5"/>
        <v>13.280084003398848</v>
      </c>
      <c r="AV43" s="61">
        <f t="shared" si="5"/>
        <v>17.411037129544706</v>
      </c>
      <c r="AW43" s="61">
        <f t="shared" si="5"/>
        <v>18.220691065088445</v>
      </c>
      <c r="AX43" s="61">
        <f t="shared" si="5"/>
        <v>12.29519059356508</v>
      </c>
      <c r="AY43" s="61">
        <f t="shared" si="5"/>
        <v>11.194569452541907</v>
      </c>
      <c r="BA43" s="44" t="str">
        <f t="shared" ca="1" si="3"/>
        <v>TaxPools</v>
      </c>
      <c r="BB43" s="1" t="str">
        <f t="shared" si="6"/>
        <v>Tax pool allocation</v>
      </c>
    </row>
    <row r="44" spans="1:54">
      <c r="E44" t="s">
        <v>174</v>
      </c>
      <c r="G44" t="str">
        <f t="shared" si="4"/>
        <v>£m 23/24 prices</v>
      </c>
      <c r="AU44" s="96">
        <f t="shared" si="5"/>
        <v>38.965773417946799</v>
      </c>
      <c r="AV44" s="61">
        <f t="shared" si="5"/>
        <v>51.086614180125842</v>
      </c>
      <c r="AW44" s="61">
        <f t="shared" si="5"/>
        <v>53.462261185918251</v>
      </c>
      <c r="AX44" s="61">
        <f t="shared" si="5"/>
        <v>36.075947311531394</v>
      </c>
      <c r="AY44" s="61">
        <f t="shared" si="5"/>
        <v>32.846558552459186</v>
      </c>
      <c r="AZ44" s="1"/>
      <c r="BA44" s="44" t="str">
        <f t="shared" ca="1" si="3"/>
        <v>TaxPools</v>
      </c>
      <c r="BB44" s="1" t="str">
        <f t="shared" si="6"/>
        <v>Tax pool allocation</v>
      </c>
    </row>
    <row r="45" spans="1:54">
      <c r="A45" s="1"/>
      <c r="E45" t="s">
        <v>175</v>
      </c>
      <c r="G45" t="str">
        <f t="shared" si="4"/>
        <v>£m 23/24 prices</v>
      </c>
      <c r="AU45" s="96">
        <f>AU36*AU16+AU37</f>
        <v>378.2009036619416</v>
      </c>
      <c r="AV45" s="61">
        <f>AV36*AV16+AV37</f>
        <v>407.03319359514711</v>
      </c>
      <c r="AW45" s="61">
        <f>AW36*AW16+AW37</f>
        <v>409.25994718985419</v>
      </c>
      <c r="AX45" s="61">
        <f>AX36*AX16+AX37</f>
        <v>402.41320550416532</v>
      </c>
      <c r="AY45" s="61">
        <f>AY36*AY16+AY37</f>
        <v>398.74608230059857</v>
      </c>
      <c r="AZ45" s="1"/>
      <c r="BA45" s="44" t="str">
        <f t="shared" ca="1" si="3"/>
        <v>TaxPools</v>
      </c>
      <c r="BB45" s="1" t="str">
        <f t="shared" si="6"/>
        <v>Tax pool allocation</v>
      </c>
    </row>
    <row r="46" spans="1:54">
      <c r="BA46" s="44"/>
    </row>
    <row r="47" spans="1:54" ht="20" thickBot="1">
      <c r="A47" s="15" t="s">
        <v>176</v>
      </c>
      <c r="AU47" s="3"/>
      <c r="AV47" s="3"/>
      <c r="AW47" s="3"/>
      <c r="AX47" s="3"/>
      <c r="AY47" s="3"/>
      <c r="BA47" s="44"/>
    </row>
    <row r="48" spans="1:54" ht="18" thickTop="1" thickBot="1">
      <c r="B48" s="17" t="s">
        <v>177</v>
      </c>
      <c r="AU48" s="3"/>
      <c r="AV48" s="3"/>
      <c r="AW48" s="3"/>
      <c r="AX48" s="3"/>
      <c r="AY48" s="3"/>
      <c r="BA48" s="44"/>
    </row>
    <row r="49" spans="5:55" ht="16.5" thickTop="1">
      <c r="E49" t="s">
        <v>152</v>
      </c>
      <c r="G49" t="str">
        <f t="shared" ref="G49:G56" si="7">nominal</f>
        <v>£m nominal</v>
      </c>
      <c r="AU49" s="96">
        <f>AU18*StartingBalance+AT56</f>
        <v>320.67244916379758</v>
      </c>
      <c r="AV49" s="61">
        <f>AV18*StartingBalance+AU56</f>
        <v>87.39788628086589</v>
      </c>
      <c r="AW49" s="61">
        <f>AW18*StartingBalance+AV56</f>
        <v>75.162182201544638</v>
      </c>
      <c r="AX49" s="61">
        <f>AX18*StartingBalance+AW56</f>
        <v>64.639476693328376</v>
      </c>
      <c r="AY49" s="61">
        <f>AY18*StartingBalance+AX56</f>
        <v>55.589949956262416</v>
      </c>
      <c r="BA49" s="44" t="str">
        <f t="shared" ca="1" si="3"/>
        <v>TaxPools</v>
      </c>
      <c r="BB49" s="1" t="str">
        <f>$A$47</f>
        <v>Capital allowances</v>
      </c>
      <c r="BC49" s="1" t="str">
        <f>$B$48</f>
        <v>General Pool</v>
      </c>
    </row>
    <row r="50" spans="5:55">
      <c r="E50" t="s">
        <v>340</v>
      </c>
      <c r="G50" t="str">
        <f t="shared" si="7"/>
        <v>£m nominal</v>
      </c>
      <c r="AU50" s="97">
        <f>AU$19</f>
        <v>-219.047</v>
      </c>
      <c r="AV50" s="38">
        <f>AV$19</f>
        <v>0</v>
      </c>
      <c r="AW50" s="38">
        <f>AW$19</f>
        <v>0</v>
      </c>
      <c r="AX50" s="38">
        <f>AX$19</f>
        <v>0</v>
      </c>
      <c r="AY50" s="38">
        <f>AY$19</f>
        <v>0</v>
      </c>
      <c r="BA50" s="44" t="str">
        <f t="shared" ca="1" si="3"/>
        <v>TaxPools</v>
      </c>
      <c r="BB50" s="1" t="str">
        <f t="shared" ref="BB50:BB56" si="8">$A$47</f>
        <v>Capital allowances</v>
      </c>
      <c r="BC50" s="1" t="str">
        <f t="shared" ref="BC50:BC56" si="9">$B$48</f>
        <v>General Pool</v>
      </c>
    </row>
    <row r="51" spans="5:55">
      <c r="E51" t="s">
        <v>170</v>
      </c>
      <c r="G51" t="str">
        <f t="shared" si="7"/>
        <v>£m nominal</v>
      </c>
      <c r="AU51" s="97">
        <f>AU$40*PCf</f>
        <v>267.24432754680851</v>
      </c>
      <c r="AV51" s="38">
        <f>AV$40*PCf</f>
        <v>357.85855535106811</v>
      </c>
      <c r="AW51" s="38">
        <f>AW$40*PCf</f>
        <v>382.44575330775956</v>
      </c>
      <c r="AX51" s="38">
        <f>AX$40*PCf</f>
        <v>263.5089870052883</v>
      </c>
      <c r="AY51" s="38">
        <f>AY$40*PCf</f>
        <v>245.03490791039079</v>
      </c>
      <c r="BA51" s="44" t="str">
        <f t="shared" ca="1" si="3"/>
        <v>TaxPools</v>
      </c>
      <c r="BB51" s="1" t="str">
        <f t="shared" si="8"/>
        <v>Capital allowances</v>
      </c>
      <c r="BC51" s="1" t="str">
        <f t="shared" si="9"/>
        <v>General Pool</v>
      </c>
    </row>
    <row r="52" spans="5:55">
      <c r="E52" t="s">
        <v>350</v>
      </c>
      <c r="G52" t="str">
        <f t="shared" si="7"/>
        <v>£m nominal</v>
      </c>
      <c r="AU52" s="96">
        <f>-AU51*AU$20</f>
        <v>-267.24432754680851</v>
      </c>
      <c r="AV52" s="61">
        <f>-AV51*AV$20</f>
        <v>-357.85855535106811</v>
      </c>
      <c r="AW52" s="61">
        <f>-AW51*AW$20</f>
        <v>-382.44575330775956</v>
      </c>
      <c r="AX52" s="61">
        <f>-AX51*AX$20</f>
        <v>-263.5089870052883</v>
      </c>
      <c r="AY52" s="61">
        <f>-AY51*AY$20</f>
        <v>-245.03490791039079</v>
      </c>
      <c r="BA52" s="44" t="str">
        <f t="shared" ca="1" si="3"/>
        <v>TaxPools</v>
      </c>
      <c r="BB52" s="1" t="str">
        <f t="shared" si="8"/>
        <v>Capital allowances</v>
      </c>
      <c r="BC52" s="1" t="str">
        <f t="shared" si="9"/>
        <v>General Pool</v>
      </c>
    </row>
    <row r="53" spans="5:55">
      <c r="E53" t="s">
        <v>351</v>
      </c>
      <c r="G53" t="str">
        <f t="shared" si="7"/>
        <v>£m nominal</v>
      </c>
      <c r="AU53" s="97">
        <f>-AU59</f>
        <v>0</v>
      </c>
      <c r="AV53" s="38">
        <f t="shared" ref="AV53:AY53" si="10">-AV59</f>
        <v>0</v>
      </c>
      <c r="AW53" s="38">
        <f t="shared" si="10"/>
        <v>0</v>
      </c>
      <c r="AX53" s="38">
        <f t="shared" si="10"/>
        <v>0</v>
      </c>
      <c r="AY53" s="38">
        <f t="shared" si="10"/>
        <v>0</v>
      </c>
      <c r="BA53" s="44" t="str">
        <f t="shared" ca="1" si="3"/>
        <v>TaxPools</v>
      </c>
      <c r="BB53" s="1" t="str">
        <f t="shared" si="8"/>
        <v>Capital allowances</v>
      </c>
      <c r="BC53" s="1" t="str">
        <f t="shared" si="9"/>
        <v>General Pool</v>
      </c>
    </row>
    <row r="54" spans="5:55">
      <c r="E54" t="s">
        <v>178</v>
      </c>
      <c r="G54" t="str">
        <f t="shared" si="7"/>
        <v>£m nominal</v>
      </c>
      <c r="AU54" s="96">
        <f>SUM(AU49:AU53)</f>
        <v>101.62544916379755</v>
      </c>
      <c r="AV54" s="61">
        <f>SUM(AV49:AV53)</f>
        <v>87.397886280865862</v>
      </c>
      <c r="AW54" s="61">
        <f t="shared" ref="AW54:AY54" si="11">SUM(AW49:AW53)</f>
        <v>75.162182201544624</v>
      </c>
      <c r="AX54" s="61">
        <f t="shared" si="11"/>
        <v>64.63947669332839</v>
      </c>
      <c r="AY54" s="61">
        <f t="shared" si="11"/>
        <v>55.589949956262416</v>
      </c>
      <c r="BA54" s="44" t="str">
        <f t="shared" ca="1" si="3"/>
        <v>TaxPools</v>
      </c>
      <c r="BB54" s="1" t="str">
        <f t="shared" si="8"/>
        <v>Capital allowances</v>
      </c>
      <c r="BC54" s="1" t="str">
        <f t="shared" si="9"/>
        <v>General Pool</v>
      </c>
    </row>
    <row r="55" spans="5:55">
      <c r="E55" t="s">
        <v>179</v>
      </c>
      <c r="G55" t="str">
        <f t="shared" si="7"/>
        <v>£m nominal</v>
      </c>
      <c r="AU55" s="96">
        <f>-AU54*AU$21</f>
        <v>-14.227562882931659</v>
      </c>
      <c r="AV55" s="61">
        <f>-AV54*AV$21</f>
        <v>-12.235704079321222</v>
      </c>
      <c r="AW55" s="61">
        <f>-AW54*AW$21</f>
        <v>-10.522705508216248</v>
      </c>
      <c r="AX55" s="61">
        <f>-AX54*AX$21</f>
        <v>-9.0495267370659747</v>
      </c>
      <c r="AY55" s="61">
        <f>-AY54*AY$21</f>
        <v>-7.7825929938767393</v>
      </c>
      <c r="BA55" s="44" t="str">
        <f t="shared" ca="1" si="3"/>
        <v>TaxPools</v>
      </c>
      <c r="BB55" s="1" t="str">
        <f t="shared" si="8"/>
        <v>Capital allowances</v>
      </c>
      <c r="BC55" s="1" t="str">
        <f t="shared" si="9"/>
        <v>General Pool</v>
      </c>
    </row>
    <row r="56" spans="5:55">
      <c r="E56" t="s">
        <v>180</v>
      </c>
      <c r="G56" t="str">
        <f t="shared" si="7"/>
        <v>£m nominal</v>
      </c>
      <c r="AU56" s="96">
        <f>SUM(AU54:AU55)</f>
        <v>87.39788628086589</v>
      </c>
      <c r="AV56" s="61">
        <f>SUM(AV54:AV55)</f>
        <v>75.162182201544638</v>
      </c>
      <c r="AW56" s="61">
        <f t="shared" ref="AW56:AY56" si="12">SUM(AW54:AW55)</f>
        <v>64.639476693328376</v>
      </c>
      <c r="AX56" s="61">
        <f t="shared" si="12"/>
        <v>55.589949956262416</v>
      </c>
      <c r="AY56" s="61">
        <f t="shared" si="12"/>
        <v>47.807356962385676</v>
      </c>
      <c r="BA56" s="44" t="str">
        <f t="shared" ca="1" si="3"/>
        <v>TaxPools</v>
      </c>
      <c r="BB56" s="1" t="str">
        <f t="shared" si="8"/>
        <v>Capital allowances</v>
      </c>
      <c r="BC56" s="1" t="str">
        <f t="shared" si="9"/>
        <v>General Pool</v>
      </c>
    </row>
    <row r="57" spans="5:55">
      <c r="AU57" s="3"/>
      <c r="AV57" s="3"/>
      <c r="AW57" s="3"/>
      <c r="AX57" s="3"/>
      <c r="AY57" s="3"/>
      <c r="BA57" s="44"/>
    </row>
    <row r="58" spans="5:55">
      <c r="E58" t="s">
        <v>152</v>
      </c>
      <c r="G58" t="str">
        <f t="shared" ref="G58:G63" si="13">nominal</f>
        <v>£m nominal</v>
      </c>
      <c r="AU58" s="97">
        <f>AT63</f>
        <v>0</v>
      </c>
      <c r="AV58" s="38">
        <f>AU63</f>
        <v>0</v>
      </c>
      <c r="AW58" s="38">
        <f t="shared" ref="AW58:AY58" si="14">AV63</f>
        <v>0</v>
      </c>
      <c r="AX58" s="38">
        <f t="shared" si="14"/>
        <v>0</v>
      </c>
      <c r="AY58" s="38">
        <f t="shared" si="14"/>
        <v>0</v>
      </c>
      <c r="BA58" s="44" t="str">
        <f t="shared" ca="1" si="3"/>
        <v>TaxPools</v>
      </c>
      <c r="BB58" s="1" t="str">
        <f t="shared" ref="BB58:BB63" si="15">$A$47</f>
        <v>Capital allowances</v>
      </c>
      <c r="BC58" s="1" t="str">
        <f t="shared" ref="BC58:BC63" si="16">$B$48</f>
        <v>General Pool</v>
      </c>
    </row>
    <row r="59" spans="5:55">
      <c r="E59" t="s">
        <v>181</v>
      </c>
      <c r="G59" t="str">
        <f t="shared" si="13"/>
        <v>£m nominal</v>
      </c>
      <c r="AU59" s="97">
        <f>-AU58</f>
        <v>0</v>
      </c>
      <c r="AV59" s="38">
        <f>-AV58</f>
        <v>0</v>
      </c>
      <c r="AW59" s="38">
        <f t="shared" ref="AW59:AY59" si="17">-AW58</f>
        <v>0</v>
      </c>
      <c r="AX59" s="38">
        <f t="shared" si="17"/>
        <v>0</v>
      </c>
      <c r="AY59" s="38">
        <f t="shared" si="17"/>
        <v>0</v>
      </c>
      <c r="BA59" s="44" t="str">
        <f t="shared" ca="1" si="3"/>
        <v>TaxPools</v>
      </c>
      <c r="BB59" s="1" t="str">
        <f t="shared" si="15"/>
        <v>Capital allowances</v>
      </c>
      <c r="BC59" s="1" t="str">
        <f t="shared" si="16"/>
        <v>General Pool</v>
      </c>
    </row>
    <row r="60" spans="5:55">
      <c r="E60" t="s">
        <v>352</v>
      </c>
      <c r="G60" t="str">
        <f t="shared" si="13"/>
        <v>£m nominal</v>
      </c>
      <c r="AU60" s="97">
        <f>-AU52</f>
        <v>267.24432754680851</v>
      </c>
      <c r="AV60" s="38">
        <f>-AV52</f>
        <v>357.85855535106811</v>
      </c>
      <c r="AW60" s="38">
        <f>-AW52</f>
        <v>382.44575330775956</v>
      </c>
      <c r="AX60" s="38">
        <f>-AX52</f>
        <v>263.5089870052883</v>
      </c>
      <c r="AY60" s="38">
        <f>-AY52</f>
        <v>245.03490791039079</v>
      </c>
      <c r="BA60" s="44" t="str">
        <f t="shared" ca="1" si="3"/>
        <v>TaxPools</v>
      </c>
      <c r="BB60" s="1" t="str">
        <f t="shared" si="15"/>
        <v>Capital allowances</v>
      </c>
      <c r="BC60" s="1" t="str">
        <f t="shared" si="16"/>
        <v>General Pool</v>
      </c>
    </row>
    <row r="61" spans="5:55">
      <c r="E61" t="s">
        <v>178</v>
      </c>
      <c r="G61" t="str">
        <f t="shared" si="13"/>
        <v>£m nominal</v>
      </c>
      <c r="AU61" s="96">
        <f>SUM(AU58:AU60)</f>
        <v>267.24432754680851</v>
      </c>
      <c r="AV61" s="61">
        <f>SUM(AV58:AV60)</f>
        <v>357.85855535106811</v>
      </c>
      <c r="AW61" s="61">
        <f>SUM(AW58:AW60)</f>
        <v>382.44575330775956</v>
      </c>
      <c r="AX61" s="61">
        <f>SUM(AX58:AX60)</f>
        <v>263.5089870052883</v>
      </c>
      <c r="AY61" s="61">
        <f>SUM(AY58:AY60)</f>
        <v>245.03490791039079</v>
      </c>
      <c r="BA61" s="44" t="str">
        <f t="shared" ca="1" si="3"/>
        <v>TaxPools</v>
      </c>
      <c r="BB61" s="1" t="str">
        <f t="shared" si="15"/>
        <v>Capital allowances</v>
      </c>
      <c r="BC61" s="1" t="str">
        <f t="shared" si="16"/>
        <v>General Pool</v>
      </c>
    </row>
    <row r="62" spans="5:55">
      <c r="E62" t="s">
        <v>179</v>
      </c>
      <c r="G62" t="str">
        <f t="shared" si="13"/>
        <v>£m nominal</v>
      </c>
      <c r="AU62" s="96">
        <f>AU61*-AU$22</f>
        <v>-267.24432754680851</v>
      </c>
      <c r="AV62" s="61">
        <f>AV61*-AV$22</f>
        <v>-357.85855535106811</v>
      </c>
      <c r="AW62" s="61">
        <f>AW61*-AW$22</f>
        <v>-382.44575330775956</v>
      </c>
      <c r="AX62" s="61">
        <f>AX61*-AX$22</f>
        <v>-263.5089870052883</v>
      </c>
      <c r="AY62" s="61">
        <f>AY61*-AY$22</f>
        <v>-245.03490791039079</v>
      </c>
      <c r="BA62" s="44" t="str">
        <f t="shared" ca="1" si="3"/>
        <v>TaxPools</v>
      </c>
      <c r="BB62" s="1" t="str">
        <f t="shared" si="15"/>
        <v>Capital allowances</v>
      </c>
      <c r="BC62" s="1" t="str">
        <f t="shared" si="16"/>
        <v>General Pool</v>
      </c>
    </row>
    <row r="63" spans="5:55">
      <c r="E63" t="s">
        <v>182</v>
      </c>
      <c r="G63" t="str">
        <f t="shared" si="13"/>
        <v>£m nominal</v>
      </c>
      <c r="AU63" s="96">
        <f>MAX(SUM(AU61:AU62),0)</f>
        <v>0</v>
      </c>
      <c r="AV63" s="61">
        <f>MAX(SUM(AV61:AV62),0)</f>
        <v>0</v>
      </c>
      <c r="AW63" s="61">
        <f t="shared" ref="AW63:AY63" si="18">MAX(SUM(AW61:AW62),0)</f>
        <v>0</v>
      </c>
      <c r="AX63" s="61">
        <f t="shared" si="18"/>
        <v>0</v>
      </c>
      <c r="AY63" s="61">
        <f t="shared" si="18"/>
        <v>0</v>
      </c>
      <c r="BA63" s="44" t="str">
        <f t="shared" ca="1" si="3"/>
        <v>TaxPools</v>
      </c>
      <c r="BB63" s="1" t="str">
        <f t="shared" si="15"/>
        <v>Capital allowances</v>
      </c>
      <c r="BC63" s="1" t="str">
        <f t="shared" si="16"/>
        <v>General Pool</v>
      </c>
    </row>
    <row r="64" spans="5:55">
      <c r="AU64" s="3"/>
      <c r="AV64" s="3"/>
      <c r="AW64" s="3"/>
      <c r="AX64" s="3"/>
      <c r="AY64" s="3"/>
      <c r="BA64" s="44"/>
    </row>
    <row r="65" spans="2:55" ht="17.5" thickBot="1">
      <c r="B65" s="17" t="s">
        <v>355</v>
      </c>
      <c r="AU65" s="3"/>
      <c r="AV65" s="3"/>
      <c r="AW65" s="3"/>
      <c r="AX65" s="3"/>
      <c r="AY65" s="3"/>
      <c r="BA65" s="44"/>
    </row>
    <row r="66" spans="2:55" ht="16.5" thickTop="1">
      <c r="E66" t="s">
        <v>152</v>
      </c>
      <c r="G66" t="str">
        <f t="shared" ref="G66:G73" si="19">nominal</f>
        <v>£m nominal</v>
      </c>
      <c r="AU66" s="96">
        <f>AU23*StartingBalance+AT73</f>
        <v>2093.8684751496303</v>
      </c>
      <c r="AV66" s="61">
        <f>AV23*StartingBalance+AU73</f>
        <v>1770.5095889763365</v>
      </c>
      <c r="AW66" s="61">
        <f>AW23*StartingBalance+AV73</f>
        <v>1828.4638995225512</v>
      </c>
      <c r="AX66" s="61">
        <f>AX23*StartingBalance+AW73</f>
        <v>1938.6109324909714</v>
      </c>
      <c r="AY66" s="61">
        <f>AY23*StartingBalance+AX73</f>
        <v>2057.2545952145474</v>
      </c>
      <c r="BA66" s="44" t="str">
        <f t="shared" ca="1" si="3"/>
        <v>TaxPools</v>
      </c>
      <c r="BB66" s="1" t="str">
        <f>$A$47</f>
        <v>Capital allowances</v>
      </c>
      <c r="BC66" s="1" t="str">
        <f>$B$65</f>
        <v>Special Rates Pool</v>
      </c>
    </row>
    <row r="67" spans="2:55">
      <c r="E67" t="s">
        <v>717</v>
      </c>
      <c r="G67" t="str">
        <f t="shared" si="19"/>
        <v>£m nominal</v>
      </c>
      <c r="AU67" s="97">
        <f>AU$24</f>
        <v>-210.34763581310202</v>
      </c>
      <c r="AV67" s="38">
        <f>AV$24</f>
        <v>0</v>
      </c>
      <c r="AW67" s="38">
        <f>AW$24</f>
        <v>0</v>
      </c>
      <c r="AX67" s="38">
        <f>AX$24</f>
        <v>0</v>
      </c>
      <c r="AY67" s="38">
        <f>AY$24</f>
        <v>0</v>
      </c>
      <c r="BA67" s="44" t="str">
        <f t="shared" ca="1" si="3"/>
        <v>TaxPools</v>
      </c>
      <c r="BB67" s="1" t="str">
        <f t="shared" ref="BB67:BB80" si="20">$A$47</f>
        <v>Capital allowances</v>
      </c>
      <c r="BC67" s="1" t="str">
        <f t="shared" ref="BC67:BC73" si="21">$B$65</f>
        <v>Special Rates Pool</v>
      </c>
    </row>
    <row r="68" spans="2:55">
      <c r="E68" t="s">
        <v>171</v>
      </c>
      <c r="G68" t="str">
        <f t="shared" si="19"/>
        <v>£m nominal</v>
      </c>
      <c r="AU68" s="97">
        <f>AU$41*PCf</f>
        <v>349.32954443573368</v>
      </c>
      <c r="AV68" s="38">
        <f>AV$41*PCf</f>
        <v>467.77631263781456</v>
      </c>
      <c r="AW68" s="38">
        <f>AW$41*PCf</f>
        <v>499.91557164475398</v>
      </c>
      <c r="AX68" s="38">
        <f>AX$41*PCf</f>
        <v>344.4468783688439</v>
      </c>
      <c r="AY68" s="38">
        <f>AY$41*PCf</f>
        <v>320.29840834019603</v>
      </c>
      <c r="BA68" s="44" t="str">
        <f t="shared" ca="1" si="3"/>
        <v>TaxPools</v>
      </c>
      <c r="BB68" s="1" t="str">
        <f t="shared" si="20"/>
        <v>Capital allowances</v>
      </c>
      <c r="BC68" s="1" t="str">
        <f t="shared" si="21"/>
        <v>Special Rates Pool</v>
      </c>
    </row>
    <row r="69" spans="2:55">
      <c r="E69" t="s">
        <v>348</v>
      </c>
      <c r="G69" t="str">
        <f t="shared" si="19"/>
        <v>£m nominal</v>
      </c>
      <c r="AU69" s="96">
        <f>-AU68*AU$25</f>
        <v>-349.32954443573368</v>
      </c>
      <c r="AV69" s="61">
        <f>-AV68*AV$25</f>
        <v>-467.77631263781456</v>
      </c>
      <c r="AW69" s="61">
        <f>-AW68*AW$25</f>
        <v>-499.91557164475398</v>
      </c>
      <c r="AX69" s="61">
        <f>-AX68*AX$25</f>
        <v>-344.4468783688439</v>
      </c>
      <c r="AY69" s="61">
        <f>-AY68*AY$25</f>
        <v>-320.29840834019603</v>
      </c>
      <c r="BA69" s="44" t="str">
        <f t="shared" ca="1" si="3"/>
        <v>TaxPools</v>
      </c>
      <c r="BB69" s="1" t="str">
        <f t="shared" si="20"/>
        <v>Capital allowances</v>
      </c>
      <c r="BC69" s="1" t="str">
        <f t="shared" si="21"/>
        <v>Special Rates Pool</v>
      </c>
    </row>
    <row r="70" spans="2:55">
      <c r="E70" t="s">
        <v>349</v>
      </c>
      <c r="G70" t="str">
        <f t="shared" si="19"/>
        <v>£m nominal</v>
      </c>
      <c r="AU70" s="97">
        <f>-AU76</f>
        <v>0</v>
      </c>
      <c r="AV70" s="38">
        <f t="shared" ref="AV70:AY70" si="22">-AV76</f>
        <v>174.66477221786684</v>
      </c>
      <c r="AW70" s="38">
        <f t="shared" si="22"/>
        <v>233.88815631890728</v>
      </c>
      <c r="AX70" s="38">
        <f t="shared" si="22"/>
        <v>249.95778582237699</v>
      </c>
      <c r="AY70" s="38">
        <f t="shared" si="22"/>
        <v>172.22343918442195</v>
      </c>
      <c r="BA70" s="44" t="str">
        <f t="shared" ca="1" si="3"/>
        <v>TaxPools</v>
      </c>
      <c r="BB70" s="1" t="str">
        <f t="shared" si="20"/>
        <v>Capital allowances</v>
      </c>
      <c r="BC70" s="1" t="str">
        <f t="shared" si="21"/>
        <v>Special Rates Pool</v>
      </c>
    </row>
    <row r="71" spans="2:55">
      <c r="E71" t="s">
        <v>178</v>
      </c>
      <c r="G71" t="str">
        <f t="shared" si="19"/>
        <v>£m nominal</v>
      </c>
      <c r="AU71" s="96">
        <f>SUM(AU66:AU70)</f>
        <v>1883.5208393365283</v>
      </c>
      <c r="AV71" s="61">
        <f>SUM(AV66:AV70)</f>
        <v>1945.1743611942034</v>
      </c>
      <c r="AW71" s="61">
        <f t="shared" ref="AW71" si="23">SUM(AW66:AW70)</f>
        <v>2062.3520558414589</v>
      </c>
      <c r="AX71" s="61">
        <f t="shared" ref="AX71" si="24">SUM(AX66:AX70)</f>
        <v>2188.5687183133482</v>
      </c>
      <c r="AY71" s="61">
        <f t="shared" ref="AY71" si="25">SUM(AY66:AY70)</f>
        <v>2229.4780343989692</v>
      </c>
      <c r="BA71" s="44" t="str">
        <f t="shared" ca="1" si="3"/>
        <v>TaxPools</v>
      </c>
      <c r="BB71" s="1" t="str">
        <f t="shared" si="20"/>
        <v>Capital allowances</v>
      </c>
      <c r="BC71" s="1" t="str">
        <f t="shared" si="21"/>
        <v>Special Rates Pool</v>
      </c>
    </row>
    <row r="72" spans="2:55">
      <c r="E72" t="s">
        <v>354</v>
      </c>
      <c r="G72" t="str">
        <f t="shared" si="19"/>
        <v>£m nominal</v>
      </c>
      <c r="AU72" s="96">
        <f>-AU71*AU$26</f>
        <v>-113.0112503601917</v>
      </c>
      <c r="AV72" s="61">
        <f>-AV71*AV$26</f>
        <v>-116.7104616716522</v>
      </c>
      <c r="AW72" s="61">
        <f>-AW71*AW$26</f>
        <v>-123.74112335048753</v>
      </c>
      <c r="AX72" s="61">
        <f>-AX71*AX$26</f>
        <v>-131.31412309880088</v>
      </c>
      <c r="AY72" s="61">
        <f>-AY71*AY$26</f>
        <v>-133.76868206393814</v>
      </c>
      <c r="BA72" s="44" t="str">
        <f t="shared" ca="1" si="3"/>
        <v>TaxPools</v>
      </c>
      <c r="BB72" s="1" t="str">
        <f t="shared" si="20"/>
        <v>Capital allowances</v>
      </c>
      <c r="BC72" s="1" t="str">
        <f t="shared" si="21"/>
        <v>Special Rates Pool</v>
      </c>
    </row>
    <row r="73" spans="2:55">
      <c r="E73" t="s">
        <v>180</v>
      </c>
      <c r="G73" t="str">
        <f t="shared" si="19"/>
        <v>£m nominal</v>
      </c>
      <c r="AU73" s="96">
        <f>SUM(AU71:AU72)</f>
        <v>1770.5095889763365</v>
      </c>
      <c r="AV73" s="61">
        <f>SUM(AV71:AV72)</f>
        <v>1828.4638995225512</v>
      </c>
      <c r="AW73" s="61">
        <f t="shared" ref="AW73" si="26">SUM(AW71:AW72)</f>
        <v>1938.6109324909714</v>
      </c>
      <c r="AX73" s="61">
        <f t="shared" ref="AX73" si="27">SUM(AX71:AX72)</f>
        <v>2057.2545952145474</v>
      </c>
      <c r="AY73" s="61">
        <f t="shared" ref="AY73" si="28">SUM(AY71:AY72)</f>
        <v>2095.7093523350309</v>
      </c>
      <c r="BA73" s="44" t="str">
        <f t="shared" ca="1" si="3"/>
        <v>TaxPools</v>
      </c>
      <c r="BB73" s="1" t="str">
        <f t="shared" si="20"/>
        <v>Capital allowances</v>
      </c>
      <c r="BC73" s="1" t="str">
        <f t="shared" si="21"/>
        <v>Special Rates Pool</v>
      </c>
    </row>
    <row r="74" spans="2:55"/>
    <row r="75" spans="2:55">
      <c r="E75" t="s">
        <v>152</v>
      </c>
      <c r="G75" t="str">
        <f t="shared" ref="G75:G80" si="29">nominal</f>
        <v>£m nominal</v>
      </c>
      <c r="AU75" s="97">
        <f>AT80</f>
        <v>0</v>
      </c>
      <c r="AV75" s="38">
        <f>AU80</f>
        <v>174.66477221786684</v>
      </c>
      <c r="AW75" s="38">
        <f t="shared" ref="AW75:AY75" si="30">AV80</f>
        <v>233.88815631890728</v>
      </c>
      <c r="AX75" s="38">
        <f t="shared" si="30"/>
        <v>249.95778582237699</v>
      </c>
      <c r="AY75" s="38">
        <f t="shared" si="30"/>
        <v>172.22343918442195</v>
      </c>
      <c r="BA75" s="44" t="str">
        <f t="shared" ca="1" si="3"/>
        <v>TaxPools</v>
      </c>
      <c r="BB75" s="1" t="str">
        <f t="shared" si="20"/>
        <v>Capital allowances</v>
      </c>
      <c r="BC75" s="1" t="str">
        <f t="shared" ref="BC75:BC80" si="31">$B$65</f>
        <v>Special Rates Pool</v>
      </c>
    </row>
    <row r="76" spans="2:55">
      <c r="E76" t="s">
        <v>181</v>
      </c>
      <c r="G76" t="str">
        <f t="shared" si="29"/>
        <v>£m nominal</v>
      </c>
      <c r="AU76" s="97">
        <f>-AU75</f>
        <v>0</v>
      </c>
      <c r="AV76" s="38">
        <f>-AV75</f>
        <v>-174.66477221786684</v>
      </c>
      <c r="AW76" s="38">
        <f t="shared" ref="AW76" si="32">-AW75</f>
        <v>-233.88815631890728</v>
      </c>
      <c r="AX76" s="38">
        <f t="shared" ref="AX76" si="33">-AX75</f>
        <v>-249.95778582237699</v>
      </c>
      <c r="AY76" s="38">
        <f t="shared" ref="AY76" si="34">-AY75</f>
        <v>-172.22343918442195</v>
      </c>
      <c r="BA76" s="44" t="str">
        <f t="shared" ca="1" si="3"/>
        <v>TaxPools</v>
      </c>
      <c r="BB76" s="1" t="str">
        <f t="shared" si="20"/>
        <v>Capital allowances</v>
      </c>
      <c r="BC76" s="1" t="str">
        <f t="shared" si="31"/>
        <v>Special Rates Pool</v>
      </c>
    </row>
    <row r="77" spans="2:55">
      <c r="E77" t="s">
        <v>353</v>
      </c>
      <c r="G77" t="str">
        <f t="shared" si="29"/>
        <v>£m nominal</v>
      </c>
      <c r="AU77" s="97">
        <f>-AU69</f>
        <v>349.32954443573368</v>
      </c>
      <c r="AV77" s="38">
        <f>-AV69</f>
        <v>467.77631263781456</v>
      </c>
      <c r="AW77" s="38">
        <f>-AW69</f>
        <v>499.91557164475398</v>
      </c>
      <c r="AX77" s="38">
        <f>-AX69</f>
        <v>344.4468783688439</v>
      </c>
      <c r="AY77" s="38">
        <f>-AY69</f>
        <v>320.29840834019603</v>
      </c>
      <c r="BA77" s="44" t="str">
        <f t="shared" ca="1" si="3"/>
        <v>TaxPools</v>
      </c>
      <c r="BB77" s="1" t="str">
        <f t="shared" si="20"/>
        <v>Capital allowances</v>
      </c>
      <c r="BC77" s="1" t="str">
        <f t="shared" si="31"/>
        <v>Special Rates Pool</v>
      </c>
    </row>
    <row r="78" spans="2:55">
      <c r="E78" t="s">
        <v>178</v>
      </c>
      <c r="G78" t="str">
        <f t="shared" si="29"/>
        <v>£m nominal</v>
      </c>
      <c r="AU78" s="96">
        <f>SUM(AU75:AU77)</f>
        <v>349.32954443573368</v>
      </c>
      <c r="AV78" s="61">
        <f>SUM(AV75:AV77)</f>
        <v>467.77631263781456</v>
      </c>
      <c r="AW78" s="61">
        <f>SUM(AW75:AW77)</f>
        <v>499.91557164475398</v>
      </c>
      <c r="AX78" s="61">
        <f>SUM(AX75:AX77)</f>
        <v>344.4468783688439</v>
      </c>
      <c r="AY78" s="61">
        <f>SUM(AY75:AY77)</f>
        <v>320.29840834019603</v>
      </c>
      <c r="BA78" s="44" t="str">
        <f t="shared" ca="1" si="3"/>
        <v>TaxPools</v>
      </c>
      <c r="BB78" s="1" t="str">
        <f t="shared" si="20"/>
        <v>Capital allowances</v>
      </c>
      <c r="BC78" s="1" t="str">
        <f t="shared" si="31"/>
        <v>Special Rates Pool</v>
      </c>
    </row>
    <row r="79" spans="2:55">
      <c r="E79" t="s">
        <v>354</v>
      </c>
      <c r="G79" t="str">
        <f t="shared" si="29"/>
        <v>£m nominal</v>
      </c>
      <c r="AU79" s="96">
        <f>AU78*-AU$27</f>
        <v>-174.66477221786684</v>
      </c>
      <c r="AV79" s="61">
        <f>AV78*-AV$27</f>
        <v>-233.88815631890728</v>
      </c>
      <c r="AW79" s="61">
        <f>AW78*-AW$27</f>
        <v>-249.95778582237699</v>
      </c>
      <c r="AX79" s="61">
        <f>AX78*-AX$27</f>
        <v>-172.22343918442195</v>
      </c>
      <c r="AY79" s="61">
        <f>AY78*-AY$27</f>
        <v>-160.14920417009802</v>
      </c>
      <c r="BA79" s="44" t="str">
        <f t="shared" ca="1" si="3"/>
        <v>TaxPools</v>
      </c>
      <c r="BB79" s="1" t="str">
        <f t="shared" si="20"/>
        <v>Capital allowances</v>
      </c>
      <c r="BC79" s="1" t="str">
        <f t="shared" si="31"/>
        <v>Special Rates Pool</v>
      </c>
    </row>
    <row r="80" spans="2:55">
      <c r="E80" t="s">
        <v>182</v>
      </c>
      <c r="G80" t="str">
        <f t="shared" si="29"/>
        <v>£m nominal</v>
      </c>
      <c r="AU80" s="96">
        <f>MAX(SUM(AU78:AU79),0)</f>
        <v>174.66477221786684</v>
      </c>
      <c r="AV80" s="61">
        <f>MAX(SUM(AV78:AV79),0)</f>
        <v>233.88815631890728</v>
      </c>
      <c r="AW80" s="61">
        <f t="shared" ref="AW80" si="35">MAX(SUM(AW78:AW79),0)</f>
        <v>249.95778582237699</v>
      </c>
      <c r="AX80" s="61">
        <f t="shared" ref="AX80" si="36">MAX(SUM(AX78:AX79),0)</f>
        <v>172.22343918442195</v>
      </c>
      <c r="AY80" s="61">
        <f t="shared" ref="AY80" si="37">MAX(SUM(AY78:AY79),0)</f>
        <v>160.14920417009802</v>
      </c>
      <c r="BA80" s="44" t="str">
        <f t="shared" ca="1" si="3"/>
        <v>TaxPools</v>
      </c>
      <c r="BB80" s="1" t="str">
        <f t="shared" si="20"/>
        <v>Capital allowances</v>
      </c>
      <c r="BC80" s="1" t="str">
        <f t="shared" si="31"/>
        <v>Special Rates Pool</v>
      </c>
    </row>
    <row r="81" spans="2:55">
      <c r="AU81" s="3"/>
      <c r="AV81" s="3"/>
      <c r="AW81" s="3"/>
      <c r="AX81" s="3"/>
      <c r="AY81" s="3"/>
      <c r="BA81" s="44"/>
    </row>
    <row r="82" spans="2:55" ht="17.5" thickBot="1">
      <c r="B82" s="17" t="s">
        <v>184</v>
      </c>
      <c r="AU82" s="3"/>
      <c r="AV82" s="3"/>
      <c r="AW82" s="3"/>
      <c r="AX82" s="3"/>
      <c r="AY82" s="3"/>
      <c r="BA82" s="44"/>
    </row>
    <row r="83" spans="2:55" ht="16.5" thickTop="1">
      <c r="E83" t="s">
        <v>152</v>
      </c>
      <c r="G83" t="str">
        <f t="shared" ref="G83:G87" si="38">nominal</f>
        <v>£m nominal</v>
      </c>
      <c r="AU83" s="96">
        <f>AU28*StartingBalance+AT87</f>
        <v>12.25226183603101</v>
      </c>
      <c r="AV83" s="61">
        <f ca="1">AV28*StartingBalance+AU87</f>
        <v>48.058132757875732</v>
      </c>
      <c r="AW83" s="61">
        <f ca="1">AW28*StartingBalance+AV87</f>
        <v>95.04468172527649</v>
      </c>
      <c r="AX83" s="61">
        <f ca="1">AX28*StartingBalance+AW87</f>
        <v>143.89336905646357</v>
      </c>
      <c r="AY83" s="61">
        <f ca="1">AY28*StartingBalance+AX87</f>
        <v>175.05614042762198</v>
      </c>
      <c r="BA83" s="44" t="str">
        <f t="shared" ca="1" si="3"/>
        <v>TaxPools</v>
      </c>
      <c r="BB83" s="1" t="str">
        <f t="shared" ref="BB83:BB87" si="39">$A$47</f>
        <v>Capital allowances</v>
      </c>
      <c r="BC83" s="1" t="str">
        <f>$B$82</f>
        <v>Structures and Buildings pool</v>
      </c>
    </row>
    <row r="84" spans="2:55">
      <c r="E84" t="s">
        <v>172</v>
      </c>
      <c r="G84" t="str">
        <f t="shared" si="38"/>
        <v>£m nominal</v>
      </c>
      <c r="J84" t="s">
        <v>10</v>
      </c>
      <c r="AT84" s="148">
        <f t="shared" ref="AT84:AY84" si="40">AT29+(AT$42*PCf)</f>
        <v>13.364857720414665</v>
      </c>
      <c r="AU84" s="97">
        <f t="shared" si="40"/>
        <v>36.210866610342137</v>
      </c>
      <c r="AV84" s="38">
        <f t="shared" si="40"/>
        <v>48.488843644090359</v>
      </c>
      <c r="AW84" s="38">
        <f t="shared" si="40"/>
        <v>51.820340906182444</v>
      </c>
      <c r="AX84" s="38">
        <f t="shared" si="40"/>
        <v>35.704738306947178</v>
      </c>
      <c r="AY84" s="38">
        <f t="shared" si="40"/>
        <v>33.201551728601295</v>
      </c>
      <c r="BA84" s="44" t="str">
        <f t="shared" ca="1" si="3"/>
        <v>TaxPools</v>
      </c>
      <c r="BB84" s="1" t="str">
        <f t="shared" si="39"/>
        <v>Capital allowances</v>
      </c>
      <c r="BC84" s="1" t="str">
        <f t="shared" ref="BC84:BC87" si="41">$B$82</f>
        <v>Structures and Buildings pool</v>
      </c>
    </row>
    <row r="85" spans="2:55">
      <c r="E85" t="s">
        <v>178</v>
      </c>
      <c r="G85" t="str">
        <f t="shared" si="38"/>
        <v>£m nominal</v>
      </c>
      <c r="AU85" s="96">
        <f>SUM(AU83:AU84)</f>
        <v>48.463128446373148</v>
      </c>
      <c r="AV85" s="61">
        <f ca="1">SUM(AV83:AV84)</f>
        <v>96.546976401966091</v>
      </c>
      <c r="AW85" s="61">
        <f ca="1">SUM(AW83:AW84)</f>
        <v>146.86502263145894</v>
      </c>
      <c r="AX85" s="61">
        <f ca="1">SUM(AX83:AX84)</f>
        <v>179.59810736341075</v>
      </c>
      <c r="AY85" s="61">
        <f ca="1">SUM(AY83:AY84)</f>
        <v>208.25769215622327</v>
      </c>
      <c r="BA85" s="44" t="str">
        <f t="shared" ca="1" si="3"/>
        <v>TaxPools</v>
      </c>
      <c r="BB85" s="1" t="str">
        <f t="shared" si="39"/>
        <v>Capital allowances</v>
      </c>
      <c r="BC85" s="1" t="str">
        <f t="shared" si="41"/>
        <v>Structures and Buildings pool</v>
      </c>
    </row>
    <row r="86" spans="2:55">
      <c r="E86" t="s">
        <v>185</v>
      </c>
      <c r="G86" t="str">
        <f t="shared" si="38"/>
        <v>£m nominal</v>
      </c>
      <c r="AU86" s="96">
        <f ca="1">-SUM(OFFSET(AT84,,-MIN(YEAR(AT$4)-YEAR($AT$4),ROUNDUP(1/AU30-1,0))):AT84)/ROUND(1/AU30,0)</f>
        <v>-0.40499568849741413</v>
      </c>
      <c r="AV86" s="61">
        <f ca="1">-SUM(OFFSET(AU84,,-MIN(YEAR(AU$4)-YEAR($AT$4),ROUNDUP(1/AV30-1,0))):AU84)/ROUND(1/AV30,0)</f>
        <v>-1.5022946766895999</v>
      </c>
      <c r="AW86" s="61">
        <f ca="1">-SUM(OFFSET(AV84,,-MIN(YEAR(AV$4)-YEAR($AT$4),ROUNDUP(1/AW30-1,0))):AV84)/ROUND(1/AW30,0)</f>
        <v>-2.9716535749953685</v>
      </c>
      <c r="AX86" s="61">
        <f ca="1">-SUM(OFFSET(AW84,,-MIN(YEAR(AW$4)-YEAR($AT$4),ROUNDUP(1/AX30-1,0))):AW84)/ROUND(1/AX30,0)</f>
        <v>-4.5419669357887766</v>
      </c>
      <c r="AY86" s="61">
        <f ca="1">-SUM(OFFSET(AX84,,-MIN(YEAR(AX$4)-YEAR($AT$4),ROUNDUP(1/AY30-1,0))):AX84)/ROUND(1/AY30,0)</f>
        <v>-5.6239287026659639</v>
      </c>
      <c r="AZ86" s="74"/>
      <c r="BA86" s="44" t="str">
        <f t="shared" ca="1" si="3"/>
        <v>TaxPools</v>
      </c>
      <c r="BB86" s="1" t="str">
        <f t="shared" si="39"/>
        <v>Capital allowances</v>
      </c>
      <c r="BC86" s="1" t="str">
        <f t="shared" si="41"/>
        <v>Structures and Buildings pool</v>
      </c>
    </row>
    <row r="87" spans="2:55">
      <c r="E87" t="s">
        <v>180</v>
      </c>
      <c r="G87" t="str">
        <f t="shared" si="38"/>
        <v>£m nominal</v>
      </c>
      <c r="AU87" s="96">
        <f ca="1">SUM(AU85:AU86)</f>
        <v>48.058132757875732</v>
      </c>
      <c r="AV87" s="61">
        <f ca="1">SUM(AV85:AV86)</f>
        <v>95.04468172527649</v>
      </c>
      <c r="AW87" s="61">
        <f t="shared" ref="AW87" ca="1" si="42">SUM(AW85:AW86)</f>
        <v>143.89336905646357</v>
      </c>
      <c r="AX87" s="61">
        <f t="shared" ref="AX87" ca="1" si="43">SUM(AX85:AX86)</f>
        <v>175.05614042762198</v>
      </c>
      <c r="AY87" s="61">
        <f t="shared" ref="AY87" ca="1" si="44">SUM(AY85:AY86)</f>
        <v>202.63376345355732</v>
      </c>
      <c r="BA87" s="44" t="str">
        <f t="shared" ca="1" si="3"/>
        <v>TaxPools</v>
      </c>
      <c r="BB87" s="1" t="str">
        <f t="shared" si="39"/>
        <v>Capital allowances</v>
      </c>
      <c r="BC87" s="1" t="str">
        <f t="shared" si="41"/>
        <v>Structures and Buildings pool</v>
      </c>
    </row>
    <row r="88" spans="2:55">
      <c r="AU88" s="3"/>
      <c r="AV88" s="3"/>
      <c r="AW88" s="3"/>
      <c r="AX88" s="3"/>
      <c r="AY88" s="3"/>
      <c r="BA88" s="44"/>
    </row>
    <row r="89" spans="2:55" ht="17.5" thickBot="1">
      <c r="B89" s="17" t="s">
        <v>356</v>
      </c>
      <c r="AU89" s="3"/>
      <c r="AV89" s="3"/>
      <c r="AW89" s="3"/>
      <c r="AX89" s="3"/>
      <c r="AY89" s="3"/>
      <c r="BA89" s="44"/>
    </row>
    <row r="90" spans="2:55" ht="16.5" thickTop="1">
      <c r="E90" t="s">
        <v>152</v>
      </c>
      <c r="G90" t="str">
        <f t="shared" ref="G90:G94" si="45">nominal</f>
        <v>£m nominal</v>
      </c>
      <c r="AU90" s="96">
        <f>AU31*StartingBalance+AT94</f>
        <v>2.195185582472611</v>
      </c>
      <c r="AV90" s="61">
        <f ca="1">AV31*StartingBalance+AU94</f>
        <v>16.695004518226447</v>
      </c>
      <c r="AW90" s="61">
        <f ca="1">AW31*StartingBalance+AV94</f>
        <v>35.804726479995082</v>
      </c>
      <c r="AX90" s="61">
        <f ca="1">AX31*StartingBalance+AW94</f>
        <v>55.820079707839831</v>
      </c>
      <c r="AY90" s="61">
        <f ca="1">AY31*StartingBalance+AX94</f>
        <v>68.897584083518495</v>
      </c>
      <c r="BA90" s="44" t="str">
        <f t="shared" ca="1" si="3"/>
        <v>TaxPools</v>
      </c>
      <c r="BB90" s="1" t="str">
        <f t="shared" ref="BB90:BB94" si="46">$A$47</f>
        <v>Capital allowances</v>
      </c>
      <c r="BC90" s="1" t="str">
        <f>$B$89</f>
        <v>Deferred Revenue expenditure</v>
      </c>
    </row>
    <row r="91" spans="2:55">
      <c r="E91" t="s">
        <v>173</v>
      </c>
      <c r="G91" t="str">
        <f t="shared" si="45"/>
        <v>£m nominal</v>
      </c>
      <c r="J91" t="s">
        <v>10</v>
      </c>
      <c r="AT91" s="148">
        <f t="shared" ref="AT91:AY91" si="47">AT32+(AT43*PCf)</f>
        <v>2.2275469598115083</v>
      </c>
      <c r="AU91" s="97">
        <f t="shared" si="47"/>
        <v>14.549319979305203</v>
      </c>
      <c r="AV91" s="38">
        <f t="shared" si="47"/>
        <v>19.482541227082336</v>
      </c>
      <c r="AW91" s="38">
        <f t="shared" si="47"/>
        <v>20.821117853760285</v>
      </c>
      <c r="AX91" s="38">
        <f t="shared" si="47"/>
        <v>14.345960509455539</v>
      </c>
      <c r="AY91" s="38">
        <f t="shared" si="47"/>
        <v>13.340194398189515</v>
      </c>
      <c r="BA91" s="44" t="str">
        <f t="shared" ca="1" si="3"/>
        <v>TaxPools</v>
      </c>
      <c r="BB91" s="1" t="str">
        <f t="shared" si="46"/>
        <v>Capital allowances</v>
      </c>
      <c r="BC91" s="1" t="str">
        <f t="shared" ref="BC91:BC94" si="48">$B$89</f>
        <v>Deferred Revenue expenditure</v>
      </c>
    </row>
    <row r="92" spans="2:55">
      <c r="E92" t="s">
        <v>178</v>
      </c>
      <c r="G92" t="str">
        <f t="shared" si="45"/>
        <v>£m nominal</v>
      </c>
      <c r="AU92" s="96">
        <f>SUM(AU90:AU91)</f>
        <v>16.744505561777814</v>
      </c>
      <c r="AV92" s="61">
        <f ca="1">SUM(AV90:AV91)</f>
        <v>36.177545745308784</v>
      </c>
      <c r="AW92" s="61">
        <f ca="1">SUM(AW90:AW91)</f>
        <v>56.625844333755367</v>
      </c>
      <c r="AX92" s="61">
        <f ca="1">SUM(AX90:AX91)</f>
        <v>70.166040217295375</v>
      </c>
      <c r="AY92" s="61">
        <f ca="1">SUM(AY90:AY91)</f>
        <v>82.237778481708006</v>
      </c>
      <c r="BA92" s="44" t="str">
        <f t="shared" ca="1" si="3"/>
        <v>TaxPools</v>
      </c>
      <c r="BB92" s="1" t="str">
        <f t="shared" si="46"/>
        <v>Capital allowances</v>
      </c>
      <c r="BC92" s="1" t="str">
        <f t="shared" si="48"/>
        <v>Deferred Revenue expenditure</v>
      </c>
    </row>
    <row r="93" spans="2:55">
      <c r="E93" t="s">
        <v>376</v>
      </c>
      <c r="G93" t="str">
        <f t="shared" si="45"/>
        <v>£m nominal</v>
      </c>
      <c r="AU93" s="96">
        <f ca="1">-SUM(OFFSET(AT91,,-MIN(YEAR(AT$4)-YEAR($AT$4),ROUNDUP(1/AU33-1,0))):AT91)/ROUND(1/AU33,0)</f>
        <v>-4.950104355136685E-2</v>
      </c>
      <c r="AV93" s="61">
        <f ca="1">-SUM(OFFSET(AU91,,-MIN(YEAR(AU$4)-YEAR($AT$4),ROUNDUP(1/AV33-1,0))):AU91)/ROUND(1/AV33,0)</f>
        <v>-0.37281926531370468</v>
      </c>
      <c r="AW93" s="61">
        <f ca="1">-SUM(OFFSET(AV91,,-MIN(YEAR(AV$4)-YEAR($AT$4),ROUNDUP(1/AW33-1,0))):AV91)/ROUND(1/AW33,0)</f>
        <v>-0.80576462591553444</v>
      </c>
      <c r="AX93" s="61">
        <f ca="1">-SUM(OFFSET(AW91,,-MIN(YEAR(AW$4)-YEAR($AT$4),ROUNDUP(1/AX33-1,0))):AW91)/ROUND(1/AX33,0)</f>
        <v>-1.2684561337768741</v>
      </c>
      <c r="AY93" s="61">
        <f ca="1">-SUM(OFFSET(AX91,,-MIN(YEAR(AX$4)-YEAR($AT$4),ROUNDUP(1/AY33-1,0))):AX91)/ROUND(1/AY33,0)</f>
        <v>-1.5872552562092195</v>
      </c>
      <c r="BA93" s="44" t="str">
        <f t="shared" ca="1" si="3"/>
        <v>TaxPools</v>
      </c>
      <c r="BB93" s="1" t="str">
        <f t="shared" si="46"/>
        <v>Capital allowances</v>
      </c>
      <c r="BC93" s="1" t="str">
        <f t="shared" si="48"/>
        <v>Deferred Revenue expenditure</v>
      </c>
    </row>
    <row r="94" spans="2:55">
      <c r="E94" t="s">
        <v>180</v>
      </c>
      <c r="G94" t="str">
        <f t="shared" si="45"/>
        <v>£m nominal</v>
      </c>
      <c r="AU94" s="96">
        <f ca="1">SUM(AU92:AU93)</f>
        <v>16.695004518226447</v>
      </c>
      <c r="AV94" s="61">
        <f t="shared" ref="AV94:AY94" ca="1" si="49">SUM(AV92:AV93)</f>
        <v>35.804726479995082</v>
      </c>
      <c r="AW94" s="61">
        <f t="shared" ca="1" si="49"/>
        <v>55.820079707839831</v>
      </c>
      <c r="AX94" s="61">
        <f t="shared" ca="1" si="49"/>
        <v>68.897584083518495</v>
      </c>
      <c r="AY94" s="61">
        <f t="shared" ca="1" si="49"/>
        <v>80.650523225498787</v>
      </c>
      <c r="BA94" s="44" t="str">
        <f t="shared" ca="1" si="3"/>
        <v>TaxPools</v>
      </c>
      <c r="BB94" s="1" t="str">
        <f t="shared" si="46"/>
        <v>Capital allowances</v>
      </c>
      <c r="BC94" s="1" t="str">
        <f t="shared" si="48"/>
        <v>Deferred Revenue expenditure</v>
      </c>
    </row>
    <row r="95" spans="2:55">
      <c r="AU95" s="3"/>
      <c r="AV95" s="3"/>
      <c r="AW95" s="3"/>
      <c r="AX95" s="3"/>
      <c r="AY95" s="3"/>
      <c r="BA95" s="44"/>
    </row>
    <row r="96" spans="2:55" ht="17.5" thickBot="1">
      <c r="B96" s="17" t="s">
        <v>188</v>
      </c>
      <c r="AU96" s="3"/>
      <c r="AV96" s="3"/>
      <c r="AW96" s="3"/>
      <c r="AX96" s="3"/>
      <c r="AY96" s="3"/>
      <c r="BA96" s="44"/>
    </row>
    <row r="97" spans="1:55" ht="16.5" thickTop="1">
      <c r="E97" t="s">
        <v>189</v>
      </c>
      <c r="G97" t="str">
        <f t="shared" ref="G97:G101" si="50">nominal</f>
        <v>£m nominal</v>
      </c>
      <c r="AU97" s="96">
        <f>-SUM(AU55,AU62)</f>
        <v>281.47189042974014</v>
      </c>
      <c r="AV97" s="61">
        <f t="shared" ref="AV97:AX97" si="51">-SUM(AV55,AV62)</f>
        <v>370.09425943038934</v>
      </c>
      <c r="AW97" s="61">
        <f t="shared" si="51"/>
        <v>392.96845881597579</v>
      </c>
      <c r="AX97" s="61">
        <f t="shared" si="51"/>
        <v>272.55851374235431</v>
      </c>
      <c r="AY97" s="61">
        <f>-SUM(AY55,AY62)</f>
        <v>252.81750090426752</v>
      </c>
      <c r="BA97" s="44" t="str">
        <f t="shared" ca="1" si="3"/>
        <v>TaxPools</v>
      </c>
      <c r="BB97" s="1" t="str">
        <f t="shared" ref="BB97:BB101" si="52">$A$47</f>
        <v>Capital allowances</v>
      </c>
      <c r="BC97" s="1" t="str">
        <f>$B$96</f>
        <v>Total capital allowances</v>
      </c>
    </row>
    <row r="98" spans="1:55">
      <c r="E98" t="s">
        <v>190</v>
      </c>
      <c r="G98" t="str">
        <f t="shared" si="50"/>
        <v>£m nominal</v>
      </c>
      <c r="AU98" s="96">
        <f t="shared" ref="AU98:AX98" si="53">-SUM(AU72,AU79)</f>
        <v>287.67602257805856</v>
      </c>
      <c r="AV98" s="61">
        <f t="shared" si="53"/>
        <v>350.59861799055949</v>
      </c>
      <c r="AW98" s="61">
        <f t="shared" si="53"/>
        <v>373.69890917286455</v>
      </c>
      <c r="AX98" s="61">
        <f t="shared" si="53"/>
        <v>303.53756228322283</v>
      </c>
      <c r="AY98" s="61">
        <f>-SUM(AY72,AY79)</f>
        <v>293.91788623403613</v>
      </c>
      <c r="BA98" s="44" t="str">
        <f t="shared" ca="1" si="3"/>
        <v>TaxPools</v>
      </c>
      <c r="BB98" s="1" t="str">
        <f t="shared" si="52"/>
        <v>Capital allowances</v>
      </c>
      <c r="BC98" s="1" t="str">
        <f t="shared" ref="BC98:BC101" si="54">$B$96</f>
        <v>Total capital allowances</v>
      </c>
    </row>
    <row r="99" spans="1:55">
      <c r="E99" t="s">
        <v>185</v>
      </c>
      <c r="G99" t="str">
        <f t="shared" si="50"/>
        <v>£m nominal</v>
      </c>
      <c r="AU99" s="97">
        <f ca="1">-AU86</f>
        <v>0.40499568849741413</v>
      </c>
      <c r="AV99" s="38">
        <f ca="1">-AV86</f>
        <v>1.5022946766895999</v>
      </c>
      <c r="AW99" s="38">
        <f ca="1">-AW86</f>
        <v>2.9716535749953685</v>
      </c>
      <c r="AX99" s="38">
        <f ca="1">-AX86</f>
        <v>4.5419669357887766</v>
      </c>
      <c r="AY99" s="38">
        <f ca="1">-AY86</f>
        <v>5.6239287026659639</v>
      </c>
      <c r="BA99" s="44" t="str">
        <f t="shared" ca="1" si="3"/>
        <v>TaxPools</v>
      </c>
      <c r="BB99" s="1" t="str">
        <f t="shared" si="52"/>
        <v>Capital allowances</v>
      </c>
      <c r="BC99" s="1" t="str">
        <f t="shared" si="54"/>
        <v>Total capital allowances</v>
      </c>
    </row>
    <row r="100" spans="1:55">
      <c r="E100" t="s">
        <v>376</v>
      </c>
      <c r="G100" t="str">
        <f t="shared" si="50"/>
        <v>£m nominal</v>
      </c>
      <c r="AU100" s="97">
        <f ca="1">-AU93</f>
        <v>4.950104355136685E-2</v>
      </c>
      <c r="AV100" s="38">
        <f t="shared" ref="AV100:AY100" ca="1" si="55">-AV93</f>
        <v>0.37281926531370468</v>
      </c>
      <c r="AW100" s="38">
        <f t="shared" ca="1" si="55"/>
        <v>0.80576462591553444</v>
      </c>
      <c r="AX100" s="38">
        <f t="shared" ca="1" si="55"/>
        <v>1.2684561337768741</v>
      </c>
      <c r="AY100" s="38">
        <f t="shared" ca="1" si="55"/>
        <v>1.5872552562092195</v>
      </c>
      <c r="BA100" s="44" t="str">
        <f t="shared" ca="1" si="3"/>
        <v>TaxPools</v>
      </c>
      <c r="BB100" s="1" t="str">
        <f t="shared" si="52"/>
        <v>Capital allowances</v>
      </c>
      <c r="BC100" s="1" t="str">
        <f t="shared" si="54"/>
        <v>Total capital allowances</v>
      </c>
    </row>
    <row r="101" spans="1:55">
      <c r="E101" t="s">
        <v>176</v>
      </c>
      <c r="G101" t="str">
        <f t="shared" si="50"/>
        <v>£m nominal</v>
      </c>
      <c r="AU101" s="141">
        <f ca="1">SUM(AU97:AU100)</f>
        <v>569.60240973984742</v>
      </c>
      <c r="AV101" s="65">
        <f t="shared" ref="AV101:AY101" ca="1" si="56">SUM(AV97:AV100)</f>
        <v>722.56799136295228</v>
      </c>
      <c r="AW101" s="65">
        <f t="shared" ca="1" si="56"/>
        <v>770.44478618975131</v>
      </c>
      <c r="AX101" s="65">
        <f t="shared" ca="1" si="56"/>
        <v>581.90649909514275</v>
      </c>
      <c r="AY101" s="65">
        <f t="shared" ca="1" si="56"/>
        <v>553.94657109717878</v>
      </c>
      <c r="BA101" s="44" t="str">
        <f t="shared" ref="BA101" ca="1" si="57">$A$1</f>
        <v>TaxPools</v>
      </c>
      <c r="BB101" s="1" t="str">
        <f t="shared" si="52"/>
        <v>Capital allowances</v>
      </c>
      <c r="BC101" s="1" t="str">
        <f t="shared" si="54"/>
        <v>Total capital allowances</v>
      </c>
    </row>
    <row r="102" spans="1:55"/>
    <row r="103" spans="1:55" ht="20" thickBot="1">
      <c r="A103" s="15" t="s">
        <v>241</v>
      </c>
    </row>
    <row r="104" spans="1:55"/>
    <row r="105" spans="1:55"/>
  </sheetData>
  <conditionalFormatting sqref="H1">
    <cfRule type="cellIs" dxfId="10" priority="1" operator="equal">
      <formula>"ERROR"</formula>
    </cfRule>
  </conditionalFormatting>
  <pageMargins left="0.7" right="0.7" top="0.75" bottom="0.75" header="0.3" footer="0.3"/>
  <pageSetup paperSize="9" orientation="portrait" r:id="rId1"/>
  <headerFooter>
    <oddFooter>&amp;L_x000D_&amp;1#&amp;"Aptos"&amp;10&amp;K000000 National Gas | Business Use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13649-BCEE-48A9-BDD0-E89ED2FB5303}">
  <sheetPr codeName="Sheet1">
    <tabColor rgb="FFBAA0CC"/>
    <pageSetUpPr autoPageBreaks="0"/>
  </sheetPr>
  <dimension ref="A1:BF130"/>
  <sheetViews>
    <sheetView workbookViewId="0">
      <pane xSplit="10" ySplit="4" topLeftCell="K5" activePane="bottomRight" state="frozen"/>
      <selection pane="topRight" activeCell="K1" sqref="K1"/>
      <selection pane="bottomLeft" activeCell="A5" sqref="A5"/>
      <selection pane="bottomRight"/>
    </sheetView>
  </sheetViews>
  <sheetFormatPr defaultColWidth="0" defaultRowHeight="16" zeroHeight="1" outlineLevelRow="1" outlineLevelCol="1"/>
  <cols>
    <col min="1" max="3" width="1.81640625" customWidth="1"/>
    <col min="4" max="4" width="15.7265625" customWidth="1"/>
    <col min="5" max="5" width="77.26953125" customWidth="1"/>
    <col min="6" max="6" width="8.7265625" customWidth="1"/>
    <col min="7" max="7" width="17.7265625" customWidth="1"/>
    <col min="8" max="8" width="9.7265625" customWidth="1"/>
    <col min="9" max="9" width="11.7265625" customWidth="1"/>
    <col min="10" max="10" width="2.08984375" customWidth="1"/>
    <col min="11" max="45" width="11.7265625" hidden="1" customWidth="1" outlineLevel="1"/>
    <col min="46" max="46" width="11.7265625" style="77" hidden="1" customWidth="1" outlineLevel="1"/>
    <col min="47" max="47" width="11.7265625" customWidth="1" collapsed="1"/>
    <col min="48" max="52" width="11.7265625" customWidth="1"/>
    <col min="53" max="56" width="10.7265625" style="1" customWidth="1"/>
    <col min="57" max="57" width="10.7265625" customWidth="1"/>
    <col min="58" max="58" width="1.7265625" style="8" customWidth="1"/>
    <col min="59" max="16384" width="9.08984375" hidden="1"/>
  </cols>
  <sheetData>
    <row r="1" spans="1:56" s="119" customFormat="1" ht="14.5">
      <c r="A1" s="118" t="str" cm="1">
        <f t="array" aca="1" ref="A1" ca="1">MID(CELL("filename",$A$1),FIND("]",CELL("filename",$A$1))+1,255)</f>
        <v>Finance</v>
      </c>
      <c r="E1" s="126"/>
      <c r="G1" s="119" t="s">
        <v>515</v>
      </c>
      <c r="H1" s="38" t="str">
        <f ca="1">Checks!I7</f>
        <v>ERROR</v>
      </c>
      <c r="AT1" s="124"/>
    </row>
    <row r="2" spans="1:56" s="119" customFormat="1" ht="15" customHeight="1">
      <c r="AT2" s="124"/>
    </row>
    <row r="3" spans="1:56" s="119" customFormat="1" ht="15" customHeight="1">
      <c r="E3" s="119" t="s">
        <v>0</v>
      </c>
      <c r="F3" s="119" t="s">
        <v>1</v>
      </c>
      <c r="G3" s="119" t="s">
        <v>2</v>
      </c>
      <c r="H3" s="119" t="s">
        <v>3</v>
      </c>
      <c r="I3" s="119" t="str">
        <f>NGT_TO!I3</f>
        <v>Constant</v>
      </c>
      <c r="AT3" s="124"/>
      <c r="AU3" s="122" t="str">
        <f>NGT_TO!AU3</f>
        <v>Annual values</v>
      </c>
    </row>
    <row r="4" spans="1:56" s="119" customFormat="1" ht="15" customHeight="1">
      <c r="D4" s="121" t="s">
        <v>421</v>
      </c>
      <c r="E4" s="119" t="s">
        <v>6</v>
      </c>
      <c r="K4" s="122">
        <f>NGT_TO!K4</f>
        <v>33328</v>
      </c>
      <c r="L4" s="122">
        <f>NGT_TO!L4</f>
        <v>33694</v>
      </c>
      <c r="M4" s="122">
        <f>NGT_TO!M4</f>
        <v>34059</v>
      </c>
      <c r="N4" s="122">
        <f>NGT_TO!N4</f>
        <v>34424</v>
      </c>
      <c r="O4" s="122">
        <f>NGT_TO!O4</f>
        <v>34789</v>
      </c>
      <c r="P4" s="122">
        <f>NGT_TO!P4</f>
        <v>35155</v>
      </c>
      <c r="Q4" s="122">
        <f>NGT_TO!Q4</f>
        <v>35520</v>
      </c>
      <c r="R4" s="122">
        <f>NGT_TO!R4</f>
        <v>35885</v>
      </c>
      <c r="S4" s="122">
        <f>NGT_TO!S4</f>
        <v>36250</v>
      </c>
      <c r="T4" s="122">
        <f>NGT_TO!T4</f>
        <v>36616</v>
      </c>
      <c r="U4" s="122">
        <f>NGT_TO!U4</f>
        <v>36981</v>
      </c>
      <c r="V4" s="122">
        <f>NGT_TO!V4</f>
        <v>37346</v>
      </c>
      <c r="W4" s="122">
        <f>NGT_TO!W4</f>
        <v>37711</v>
      </c>
      <c r="X4" s="122">
        <f>NGT_TO!X4</f>
        <v>38077</v>
      </c>
      <c r="Y4" s="122">
        <f>NGT_TO!Y4</f>
        <v>38442</v>
      </c>
      <c r="Z4" s="122">
        <f>NGT_TO!Z4</f>
        <v>38807</v>
      </c>
      <c r="AA4" s="122">
        <f>NGT_TO!AA4</f>
        <v>39172</v>
      </c>
      <c r="AB4" s="122">
        <f>NGT_TO!AB4</f>
        <v>39538</v>
      </c>
      <c r="AC4" s="122">
        <f>NGT_TO!AC4</f>
        <v>39903</v>
      </c>
      <c r="AD4" s="122">
        <f>NGT_TO!AD4</f>
        <v>40268</v>
      </c>
      <c r="AE4" s="122">
        <f>NGT_TO!AE4</f>
        <v>40633</v>
      </c>
      <c r="AF4" s="122">
        <f>NGT_TO!AF4</f>
        <v>40999</v>
      </c>
      <c r="AG4" s="122">
        <f>NGT_TO!AG4</f>
        <v>41364</v>
      </c>
      <c r="AH4" s="122">
        <f>NGT_TO!AH4</f>
        <v>41729</v>
      </c>
      <c r="AI4" s="122">
        <f>NGT_TO!AI4</f>
        <v>42094</v>
      </c>
      <c r="AJ4" s="122">
        <f>NGT_TO!AJ4</f>
        <v>42460</v>
      </c>
      <c r="AK4" s="122">
        <f>NGT_TO!AK4</f>
        <v>42825</v>
      </c>
      <c r="AL4" s="122">
        <f>NGT_TO!AL4</f>
        <v>43190</v>
      </c>
      <c r="AM4" s="122">
        <f>NGT_TO!AM4</f>
        <v>43555</v>
      </c>
      <c r="AN4" s="122">
        <f>NGT_TO!AN4</f>
        <v>43921</v>
      </c>
      <c r="AO4" s="122">
        <f>NGT_TO!AO4</f>
        <v>44286</v>
      </c>
      <c r="AP4" s="122">
        <f>NGT_TO!AP4</f>
        <v>44651</v>
      </c>
      <c r="AQ4" s="122">
        <f>NGT_TO!AQ4</f>
        <v>45016</v>
      </c>
      <c r="AR4" s="122">
        <f>NGT_TO!AR4</f>
        <v>45382</v>
      </c>
      <c r="AS4" s="122">
        <f>NGT_TO!AS4</f>
        <v>45747</v>
      </c>
      <c r="AT4" s="123">
        <f>NGT_TO!AT4</f>
        <v>46112</v>
      </c>
      <c r="AU4" s="122">
        <f>NGT_TO!AU4</f>
        <v>46477</v>
      </c>
      <c r="AV4" s="122">
        <f>NGT_TO!AV4</f>
        <v>46843</v>
      </c>
      <c r="AW4" s="122">
        <f>NGT_TO!AW4</f>
        <v>47208</v>
      </c>
      <c r="AX4" s="122">
        <f>NGT_TO!AX4</f>
        <v>47573</v>
      </c>
      <c r="AY4" s="122">
        <f>NGT_TO!AY4</f>
        <v>47938</v>
      </c>
      <c r="BA4" s="127" t="s">
        <v>527</v>
      </c>
      <c r="BB4" s="127" t="s">
        <v>528</v>
      </c>
      <c r="BC4" s="127" t="s">
        <v>529</v>
      </c>
      <c r="BD4" s="127" t="s">
        <v>530</v>
      </c>
    </row>
    <row r="5" spans="1:56">
      <c r="AP5" s="1"/>
      <c r="AQ5" s="1"/>
      <c r="AR5" s="1"/>
      <c r="AS5" s="1"/>
      <c r="AT5" s="100"/>
    </row>
    <row r="6" spans="1:56" ht="20" thickBot="1">
      <c r="A6" s="15" t="s">
        <v>400</v>
      </c>
      <c r="AP6" s="1"/>
      <c r="AQ6" s="1"/>
      <c r="AR6" s="1"/>
      <c r="AS6" s="1"/>
      <c r="AT6" s="100"/>
      <c r="AU6" s="1"/>
      <c r="AV6" s="1"/>
      <c r="AW6" s="1"/>
      <c r="AX6" s="1"/>
      <c r="AY6" s="1"/>
    </row>
    <row r="7" spans="1:56" ht="16.5" outlineLevel="1" thickTop="1">
      <c r="D7" s="1" t="str" cm="1">
        <f t="array" aca="1" ref="D7" ca="1">IFERROR(MID(_xlfn.FORMULATEXT(I7),FIND("=",_xlfn.FORMULATEXT(I7))+1,FIND("!",_xlfn.FORMULATEXT(I7))-2),MID(_xlfn.FORMULATEXT(INDEX(L7:AV7,MATCH(FALSE,ISBLANK(L7:AV7),0))),FIND("=",_xlfn.FORMULATEXT(INDEX(L7:AV7,MATCH(FALSE,ISBLANK(L7:AV7),0))))+1,FIND("!",_xlfn.FORMULATEXT(INDEX(L7:AV7,MATCH(FALSE,ISBLANK(L7:AV7),0))))-2))</f>
        <v>Transform_TO</v>
      </c>
      <c r="E7" t="s">
        <v>559</v>
      </c>
      <c r="G7" t="s">
        <v>33</v>
      </c>
      <c r="AU7" s="99">
        <f>Transform_TO!AU190</f>
        <v>0.6</v>
      </c>
      <c r="AV7" s="70">
        <f>Transform_TO!AV190</f>
        <v>0.6</v>
      </c>
      <c r="AW7" s="70">
        <f>Transform_TO!AW190</f>
        <v>0.6</v>
      </c>
      <c r="AX7" s="70">
        <f>Transform_TO!AX190</f>
        <v>0.6</v>
      </c>
      <c r="AY7" s="70">
        <f>Transform_TO!AY190</f>
        <v>0.6</v>
      </c>
    </row>
    <row r="8" spans="1:56" outlineLevel="1">
      <c r="D8" s="1" t="str" cm="1">
        <f t="array" aca="1" ref="D8" ca="1">IFERROR(MID(_xlfn.FORMULATEXT(I8),FIND("=",_xlfn.FORMULATEXT(I8))+1,FIND("!",_xlfn.FORMULATEXT(I8))-2),MID(_xlfn.FORMULATEXT(INDEX(L8:AV8,MATCH(FALSE,ISBLANK(L8:AV8),0))),FIND("=",_xlfn.FORMULATEXT(INDEX(L8:AV8,MATCH(FALSE,ISBLANK(L8:AV8),0))))+1,FIND("!",_xlfn.FORMULATEXT(INDEX(L8:AV8,MATCH(FALSE,ISBLANK(L8:AV8),0))))-2))</f>
        <v>Revenue_TO</v>
      </c>
      <c r="E8" t="s">
        <v>377</v>
      </c>
      <c r="G8" t="str">
        <f t="shared" ref="G8:G35" si="0">price_label</f>
        <v>£m 23/24 prices</v>
      </c>
      <c r="AU8" s="95">
        <f>Revenue_TO!AU18</f>
        <v>1189.4381053064228</v>
      </c>
      <c r="AV8" s="69">
        <f ca="1">Revenue_TO!AV18</f>
        <v>1266.7026891179125</v>
      </c>
      <c r="AW8" s="69">
        <f ca="1">Revenue_TO!AW18</f>
        <v>1318.3107462697847</v>
      </c>
      <c r="AX8" s="69">
        <f ca="1">Revenue_TO!AX18</f>
        <v>1309.0967843251353</v>
      </c>
      <c r="AY8" s="69">
        <f ca="1">Revenue_TO!AY18</f>
        <v>1331.4442151284579</v>
      </c>
      <c r="AZ8" s="1"/>
      <c r="BA8" s="44"/>
    </row>
    <row r="9" spans="1:56" outlineLevel="1">
      <c r="D9" s="1" t="str" cm="1">
        <f t="array" aca="1" ref="D9" ca="1">IFERROR(MID(_xlfn.FORMULATEXT(I9),FIND("=",_xlfn.FORMULATEXT(I9))+1,FIND("!",_xlfn.FORMULATEXT(I9))-2),MID(_xlfn.FORMULATEXT(INDEX(L9:AV9,MATCH(FALSE,ISBLANK(L9:AV9),0))),FIND("=",_xlfn.FORMULATEXT(INDEX(L9:AV9,MATCH(FALSE,ISBLANK(L9:AV9),0))))+1,FIND("!",_xlfn.FORMULATEXT(INDEX(L9:AV9,MATCH(FALSE,ISBLANK(L9:AV9),0))))-2))</f>
        <v>Revenue_SO</v>
      </c>
      <c r="E9" t="s">
        <v>378</v>
      </c>
      <c r="G9" t="str">
        <f>price_label</f>
        <v>£m 23/24 prices</v>
      </c>
      <c r="AU9" s="95">
        <f>Revenue_SO!AU13</f>
        <v>333.17858293113864</v>
      </c>
      <c r="AV9" s="69">
        <f>Revenue_SO!AV13</f>
        <v>296.1924330918356</v>
      </c>
      <c r="AW9" s="69">
        <f>Revenue_SO!AW13</f>
        <v>279.32673994102441</v>
      </c>
      <c r="AX9" s="69">
        <f>Revenue_SO!AX13</f>
        <v>270.98193204584919</v>
      </c>
      <c r="AY9" s="69">
        <f>Revenue_SO!AY13</f>
        <v>264.569089656757</v>
      </c>
      <c r="BA9" s="44"/>
    </row>
    <row r="10" spans="1:56" outlineLevel="1">
      <c r="D10" s="1" t="str" cm="1">
        <f t="array" aca="1" ref="D10" ca="1">IFERROR(MID(_xlfn.FORMULATEXT(I10),FIND("=",_xlfn.FORMULATEXT(I10))+1,FIND("!",_xlfn.FORMULATEXT(I10))-2),MID(_xlfn.FORMULATEXT(INDEX(L10:AV10,MATCH(FALSE,ISBLANK(L10:AV10),0))),FIND("=",_xlfn.FORMULATEXT(INDEX(L10:AV10,MATCH(FALSE,ISBLANK(L10:AV10),0))))+1,FIND("!",_xlfn.FORMULATEXT(INDEX(L10:AV10,MATCH(FALSE,ISBLANK(L10:AV10),0))))-2))</f>
        <v>Transform_TO</v>
      </c>
      <c r="E10" t="s">
        <v>389</v>
      </c>
      <c r="G10" t="str">
        <f t="shared" si="0"/>
        <v>£m 23/24 prices</v>
      </c>
      <c r="AU10" s="95">
        <f>Transform_TO!AU154</f>
        <v>0</v>
      </c>
      <c r="AV10" s="69">
        <f>Transform_TO!AV154</f>
        <v>0</v>
      </c>
      <c r="AW10" s="69">
        <f>Transform_TO!AW154</f>
        <v>0</v>
      </c>
      <c r="AX10" s="69">
        <f>Transform_TO!AX154</f>
        <v>0</v>
      </c>
      <c r="AY10" s="69">
        <f>Transform_TO!AY154</f>
        <v>0</v>
      </c>
    </row>
    <row r="11" spans="1:56" outlineLevel="1">
      <c r="D11" s="1" t="str" cm="1">
        <f t="array" aca="1" ref="D11" ca="1">IFERROR(MID(_xlfn.FORMULATEXT(I11),FIND("=",_xlfn.FORMULATEXT(I11))+1,FIND("!",_xlfn.FORMULATEXT(I11))-2),MID(_xlfn.FORMULATEXT(INDEX(L11:AV11,MATCH(FALSE,ISBLANK(L11:AV11),0))),FIND("=",_xlfn.FORMULATEXT(INDEX(L11:AV11,MATCH(FALSE,ISBLANK(L11:AV11),0))))+1,FIND("!",_xlfn.FORMULATEXT(INDEX(L11:AV11,MATCH(FALSE,ISBLANK(L11:AV11),0))))-2))</f>
        <v>Totex</v>
      </c>
      <c r="E11" t="s">
        <v>379</v>
      </c>
      <c r="G11" t="str">
        <f t="shared" si="0"/>
        <v>£m 23/24 prices</v>
      </c>
      <c r="AU11" s="95">
        <f>Totex!AU96</f>
        <v>863.6341684972366</v>
      </c>
      <c r="AV11" s="69">
        <f>Totex!AV96</f>
        <v>1068.6032595256861</v>
      </c>
      <c r="AW11" s="69">
        <f>Totex!AW96</f>
        <v>1110.0029906540856</v>
      </c>
      <c r="AX11" s="69">
        <f>Totex!AX96</f>
        <v>813.40227445624998</v>
      </c>
      <c r="AY11" s="69">
        <f>Totex!AY96</f>
        <v>755.65763630077834</v>
      </c>
    </row>
    <row r="12" spans="1:56" outlineLevel="1">
      <c r="D12" s="1" t="str" cm="1">
        <f t="array" aca="1" ref="D12" ca="1">IFERROR(MID(_xlfn.FORMULATEXT(I12),FIND("=",_xlfn.FORMULATEXT(I12))+1,FIND("!",_xlfn.FORMULATEXT(I12))-2),MID(_xlfn.FORMULATEXT(INDEX(L12:AV12,MATCH(FALSE,ISBLANK(L12:AV12),0))),FIND("=",_xlfn.FORMULATEXT(INDEX(L12:AV12,MATCH(FALSE,ISBLANK(L12:AV12),0))))+1,FIND("!",_xlfn.FORMULATEXT(INDEX(L12:AV12,MATCH(FALSE,ISBLANK(L12:AV12),0))))-2))</f>
        <v>Calculations_SO</v>
      </c>
      <c r="E12" t="s">
        <v>380</v>
      </c>
      <c r="G12" t="str">
        <f>price_label</f>
        <v>£m 23/24 prices</v>
      </c>
      <c r="AU12" s="95">
        <f>Calculations_SO!AU27</f>
        <v>130.51266746071127</v>
      </c>
      <c r="AV12" s="69">
        <f>Calculations_SO!AV27</f>
        <v>139.91165659720485</v>
      </c>
      <c r="AW12" s="69">
        <f>Calculations_SO!AW27</f>
        <v>134.09909509594934</v>
      </c>
      <c r="AX12" s="69">
        <f>Calculations_SO!AX27</f>
        <v>120.35399974977341</v>
      </c>
      <c r="AY12" s="69">
        <f>Calculations_SO!AY27</f>
        <v>108.09452089088215</v>
      </c>
      <c r="BA12" s="44"/>
    </row>
    <row r="13" spans="1:56" outlineLevel="1">
      <c r="D13" s="1" t="str" cm="1">
        <f t="array" aca="1" ref="D13" ca="1">IFERROR(MID(_xlfn.FORMULATEXT(I13),FIND("=",_xlfn.FORMULATEXT(I13))+1,FIND("!",_xlfn.FORMULATEXT(I13))-2),MID(_xlfn.FORMULATEXT(INDEX(L13:AV13,MATCH(FALSE,ISBLANK(L13:AV13),0))),FIND("=",_xlfn.FORMULATEXT(INDEX(L13:AV13,MATCH(FALSE,ISBLANK(L13:AV13),0))))+1,FIND("!",_xlfn.FORMULATEXT(INDEX(L13:AV13,MATCH(FALSE,ISBLANK(L13:AV13),0))))-2))</f>
        <v>Transform_TO</v>
      </c>
      <c r="E13" t="s">
        <v>381</v>
      </c>
      <c r="G13" t="str">
        <f t="shared" si="0"/>
        <v>£m 23/24 prices</v>
      </c>
      <c r="AU13" s="95">
        <f>Transform_TO!AU110</f>
        <v>160.87582290317727</v>
      </c>
      <c r="AV13" s="69">
        <f>Transform_TO!AV110</f>
        <v>180.44504523643334</v>
      </c>
      <c r="AW13" s="69">
        <f>Transform_TO!AW110</f>
        <v>181.5976750063179</v>
      </c>
      <c r="AX13" s="69">
        <f>Transform_TO!AX110</f>
        <v>182.27238383084594</v>
      </c>
      <c r="AY13" s="69">
        <f>Transform_TO!AY110</f>
        <v>182.97387740890844</v>
      </c>
    </row>
    <row r="14" spans="1:56" outlineLevel="1">
      <c r="D14" s="1" t="str" cm="1">
        <f t="array" aca="1" ref="D14" ca="1">IFERROR(MID(_xlfn.FORMULATEXT(I14),FIND("=",_xlfn.FORMULATEXT(I14))+1,FIND("!",_xlfn.FORMULATEXT(I14))-2),MID(_xlfn.FORMULATEXT(INDEX(L14:AV14,MATCH(FALSE,ISBLANK(L14:AV14),0))),FIND("=",_xlfn.FORMULATEXT(INDEX(L14:AV14,MATCH(FALSE,ISBLANK(L14:AV14),0))))+1,FIND("!",_xlfn.FORMULATEXT(INDEX(L14:AV14,MATCH(FALSE,ISBLANK(L14:AV14),0))))-2))</f>
        <v>Transform_SO</v>
      </c>
      <c r="E14" t="s">
        <v>382</v>
      </c>
      <c r="G14" t="str">
        <f>price_label</f>
        <v>£m 23/24 prices</v>
      </c>
      <c r="AU14" s="95">
        <f>Transform_SO!AU35</f>
        <v>44.90024459987827</v>
      </c>
      <c r="AV14" s="69">
        <f>Transform_SO!AV35</f>
        <v>37.104573139953175</v>
      </c>
      <c r="AW14" s="69">
        <f>Transform_SO!AW35</f>
        <v>37.594328405198311</v>
      </c>
      <c r="AX14" s="69">
        <f>Transform_SO!AX35</f>
        <v>36.322007764802066</v>
      </c>
      <c r="AY14" s="69">
        <f>Transform_SO!AY35</f>
        <v>36.971631005375848</v>
      </c>
    </row>
    <row r="15" spans="1:56" outlineLevel="1">
      <c r="D15" s="1" t="str" cm="1">
        <f t="array" aca="1" ref="D15" ca="1">IFERROR(MID(_xlfn.FORMULATEXT(I15),FIND("=",_xlfn.FORMULATEXT(I15))+1,FIND("!",_xlfn.FORMULATEXT(I15))-2),MID(_xlfn.FORMULATEXT(INDEX(L15:AV15,MATCH(FALSE,ISBLANK(L15:AV15),0))),FIND("=",_xlfn.FORMULATEXT(INDEX(L15:AV15,MATCH(FALSE,ISBLANK(L15:AV15),0))))+1,FIND("!",_xlfn.FORMULATEXT(INDEX(L15:AV15,MATCH(FALSE,ISBLANK(L15:AV15),0))))-2))</f>
        <v>Transform_TO</v>
      </c>
      <c r="E15" t="s">
        <v>383</v>
      </c>
      <c r="G15" t="str">
        <f t="shared" si="0"/>
        <v>£m 23/24 prices</v>
      </c>
      <c r="AU15" s="95">
        <f>Transform_TO!AU120</f>
        <v>1.7683011558938189</v>
      </c>
      <c r="AV15" s="69">
        <f>Transform_TO!AV120</f>
        <v>7.6556799191598834</v>
      </c>
      <c r="AW15" s="69">
        <f>Transform_TO!AW120</f>
        <v>6.8417510297361384</v>
      </c>
      <c r="AX15" s="69">
        <f>Transform_TO!AX120</f>
        <v>6.7524487704685523</v>
      </c>
      <c r="AY15" s="69">
        <f>Transform_TO!AY120</f>
        <v>6.4173885687970484</v>
      </c>
    </row>
    <row r="16" spans="1:56" outlineLevel="1">
      <c r="D16" s="1" t="str" cm="1">
        <f t="array" aca="1" ref="D16" ca="1">IFERROR(MID(_xlfn.FORMULATEXT(I16),FIND("=",_xlfn.FORMULATEXT(I16))+1,FIND("!",_xlfn.FORMULATEXT(I16))-2),MID(_xlfn.FORMULATEXT(INDEX(L16:AV16,MATCH(FALSE,ISBLANK(L16:AV16),0))),FIND("=",_xlfn.FORMULATEXT(INDEX(L16:AV16,MATCH(FALSE,ISBLANK(L16:AV16),0))))+1,FIND("!",_xlfn.FORMULATEXT(INDEX(L16:AV16,MATCH(FALSE,ISBLANK(L16:AV16),0))))-2))</f>
        <v>Transform_SO</v>
      </c>
      <c r="E16" t="s">
        <v>384</v>
      </c>
      <c r="G16" t="str">
        <f>price_label</f>
        <v>£m 23/24 prices</v>
      </c>
      <c r="AU16" s="95">
        <f>Transform_SO!AU64</f>
        <v>160.3777653541899</v>
      </c>
      <c r="AV16" s="69">
        <f>Transform_SO!AV64</f>
        <v>124.75564226802362</v>
      </c>
      <c r="AW16" s="69">
        <f>Transform_SO!AW64</f>
        <v>109.25716788069384</v>
      </c>
      <c r="AX16" s="69">
        <f>Transform_SO!AX64</f>
        <v>107.7564397914939</v>
      </c>
      <c r="AY16" s="69">
        <f>Transform_SO!AY64</f>
        <v>106.25242359432681</v>
      </c>
    </row>
    <row r="17" spans="4:58" outlineLevel="1">
      <c r="D17" s="1" t="str" cm="1">
        <f t="array" aca="1" ref="D17" ca="1">IFERROR(MID(_xlfn.FORMULATEXT(I17),FIND("=",_xlfn.FORMULATEXT(I17))+1,FIND("!",_xlfn.FORMULATEXT(I17))-2),MID(_xlfn.FORMULATEXT(INDEX(L17:AV17,MATCH(FALSE,ISBLANK(L17:AV17),0))),FIND("=",_xlfn.FORMULATEXT(INDEX(L17:AV17,MATCH(FALSE,ISBLANK(L17:AV17),0))))+1,FIND("!",_xlfn.FORMULATEXT(INDEX(L17:AV17,MATCH(FALSE,ISBLANK(L17:AV17),0))))-2))</f>
        <v>Tax</v>
      </c>
      <c r="E17" t="s">
        <v>385</v>
      </c>
      <c r="G17" t="str">
        <f>nominal</f>
        <v>£m nominal</v>
      </c>
      <c r="AU17" s="95">
        <f ca="1">Tax!AU85</f>
        <v>24.733644167546117</v>
      </c>
      <c r="AV17" s="69">
        <f ca="1">Tax!AV85</f>
        <v>0</v>
      </c>
      <c r="AW17" s="69">
        <f ca="1">Tax!AW85</f>
        <v>0</v>
      </c>
      <c r="AX17" s="69">
        <f ca="1">Tax!AX85</f>
        <v>48.770583299267777</v>
      </c>
      <c r="AY17" s="69">
        <f ca="1">Tax!AY85</f>
        <v>81.789276553295238</v>
      </c>
      <c r="BA17" s="44"/>
    </row>
    <row r="18" spans="4:58" outlineLevel="1">
      <c r="D18" s="1" t="str" cm="1">
        <f t="array" aca="1" ref="D18" ca="1">IFERROR(MID(_xlfn.FORMULATEXT(I18),FIND("=",_xlfn.FORMULATEXT(I18))+1,FIND("!",_xlfn.FORMULATEXT(I18))-2),MID(_xlfn.FORMULATEXT(INDEX(L18:AV18,MATCH(FALSE,ISBLANK(L18:AV18),0))),FIND("=",_xlfn.FORMULATEXT(INDEX(L18:AV18,MATCH(FALSE,ISBLANK(L18:AV18),0))))+1,FIND("!",_xlfn.FORMULATEXT(INDEX(L18:AV18,MATCH(FALSE,ISBLANK(L18:AV18),0))))-2))</f>
        <v>Calculations_SO</v>
      </c>
      <c r="E18" t="s">
        <v>386</v>
      </c>
      <c r="G18" t="str">
        <f>nominal</f>
        <v>£m nominal</v>
      </c>
      <c r="AU18" s="95">
        <f ca="1">Calculations_SO!AU311</f>
        <v>5.5619305880886571</v>
      </c>
      <c r="AV18" s="69">
        <f ca="1">Calculations_SO!AV311</f>
        <v>6.5399464560286891</v>
      </c>
      <c r="AW18" s="69">
        <f ca="1">Calculations_SO!AW311</f>
        <v>4.6562467079088394</v>
      </c>
      <c r="AX18" s="69">
        <f ca="1">Calculations_SO!AX311</f>
        <v>2.5951363200296287</v>
      </c>
      <c r="AY18" s="69">
        <f ca="1">Calculations_SO!AY311</f>
        <v>1.6915508659691103</v>
      </c>
      <c r="BA18" s="44"/>
    </row>
    <row r="19" spans="4:58" outlineLevel="1">
      <c r="D19" s="1" t="str" cm="1">
        <f t="array" aca="1" ref="D19" ca="1">IFERROR(MID(_xlfn.FORMULATEXT(I19),FIND("=",_xlfn.FORMULATEXT(I19))+1,FIND("!",_xlfn.FORMULATEXT(I19))-2),MID(_xlfn.FORMULATEXT(INDEX(L19:AV19,MATCH(FALSE,ISBLANK(L19:AV19),0))),FIND("=",_xlfn.FORMULATEXT(INDEX(L19:AV19,MATCH(FALSE,ISBLANK(L19:AV19),0))))+1,FIND("!",_xlfn.FORMULATEXT(INDEX(L19:AV19,MATCH(FALSE,ISBLANK(L19:AV19),0))))-2))</f>
        <v>Tax</v>
      </c>
      <c r="E19" t="s">
        <v>388</v>
      </c>
      <c r="G19" t="str">
        <f t="shared" ref="G19:G22" si="1">nominal</f>
        <v>£m nominal</v>
      </c>
      <c r="AU19" s="95">
        <f ca="1">Tax!AU105</f>
        <v>24.733644167546117</v>
      </c>
      <c r="AV19" s="69">
        <f ca="1">Tax!AV105</f>
        <v>0</v>
      </c>
      <c r="AW19" s="69">
        <f ca="1">Tax!AW105</f>
        <v>0</v>
      </c>
      <c r="AX19" s="69">
        <f ca="1">Tax!AX105</f>
        <v>48.770583299267777</v>
      </c>
      <c r="AY19" s="69">
        <f ca="1">Tax!AY105</f>
        <v>81.789276553295238</v>
      </c>
      <c r="BA19" s="44"/>
    </row>
    <row r="20" spans="4:58" outlineLevel="1">
      <c r="D20" s="1" t="str" cm="1">
        <f t="array" aca="1" ref="D20" ca="1">IFERROR(MID(_xlfn.FORMULATEXT(I20),FIND("=",_xlfn.FORMULATEXT(I20))+1,FIND("!",_xlfn.FORMULATEXT(I20))-2),MID(_xlfn.FORMULATEXT(INDEX(L20:AV20,MATCH(FALSE,ISBLANK(L20:AV20),0))),FIND("=",_xlfn.FORMULATEXT(INDEX(L20:AV20,MATCH(FALSE,ISBLANK(L20:AV20),0))))+1,FIND("!",_xlfn.FORMULATEXT(INDEX(L20:AV20,MATCH(FALSE,ISBLANK(L20:AV20),0))))-2))</f>
        <v>Calculations_SO</v>
      </c>
      <c r="E20" t="s">
        <v>387</v>
      </c>
      <c r="G20" t="str">
        <f>nominal</f>
        <v>£m nominal</v>
      </c>
      <c r="AU20" s="95">
        <f ca="1">Calculations_SO!AU331</f>
        <v>5.5619305880886571</v>
      </c>
      <c r="AV20" s="69">
        <f ca="1">Calculations_SO!AV331</f>
        <v>6.5399464560286891</v>
      </c>
      <c r="AW20" s="69">
        <f ca="1">Calculations_SO!AW331</f>
        <v>4.6562467079088394</v>
      </c>
      <c r="AX20" s="69">
        <f ca="1">Calculations_SO!AX331</f>
        <v>2.5951363200296287</v>
      </c>
      <c r="AY20" s="69">
        <f ca="1">Calculations_SO!AY331</f>
        <v>1.6915508659691103</v>
      </c>
      <c r="BA20" s="44"/>
    </row>
    <row r="21" spans="4:58" ht="14.5" outlineLevel="1">
      <c r="BA21"/>
      <c r="BB21"/>
      <c r="BC21"/>
      <c r="BD21"/>
      <c r="BF21"/>
    </row>
    <row r="22" spans="4:58" outlineLevel="1">
      <c r="D22" s="1" t="str" cm="1">
        <f t="array" aca="1" ref="D22" ca="1">IFERROR(MID(_xlfn.FORMULATEXT(I22),FIND("=",_xlfn.FORMULATEXT(I22))+1,FIND("!",_xlfn.FORMULATEXT(I22))-2),MID(_xlfn.FORMULATEXT(INDEX(L22:AV22,MATCH(FALSE,ISBLANK(L22:AV22),0))),FIND("=",_xlfn.FORMULATEXT(INDEX(L22:AV22,MATCH(FALSE,ISBLANK(L22:AV22),0))))+1,FIND("!",_xlfn.FORMULATEXT(INDEX(L22:AV22,MATCH(FALSE,ISBLANK(L22:AV22),0))))-2))</f>
        <v>'Return&amp;RAV'</v>
      </c>
      <c r="E22" t="s">
        <v>1142</v>
      </c>
      <c r="G22" t="str">
        <f t="shared" si="1"/>
        <v>£m nominal</v>
      </c>
      <c r="AU22" s="95">
        <f>'Return&amp;RAV'!AU25</f>
        <v>7953.131572618574</v>
      </c>
      <c r="AV22" s="69">
        <f>'Return&amp;RAV'!AV25</f>
        <v>8228.5351417281017</v>
      </c>
      <c r="AW22" s="69">
        <f>'Return&amp;RAV'!AW25</f>
        <v>8751.9406809772827</v>
      </c>
      <c r="AX22" s="69">
        <f>'Return&amp;RAV'!AX25</f>
        <v>9301.8715066566838</v>
      </c>
      <c r="AY22" s="69">
        <f>'Return&amp;RAV'!AY25</f>
        <v>9549.6476874507935</v>
      </c>
    </row>
    <row r="23" spans="4:58" outlineLevel="1">
      <c r="D23" s="1" t="str" cm="1">
        <f t="array" aca="1" ref="D23" ca="1">IFERROR(MID(_xlfn.FORMULATEXT(I23),FIND("=",_xlfn.FORMULATEXT(I23))+1,FIND("!",_xlfn.FORMULATEXT(I23))-2),MID(_xlfn.FORMULATEXT(INDEX(L23:AV23,MATCH(FALSE,ISBLANK(L23:AV23),0))),FIND("=",_xlfn.FORMULATEXT(INDEX(L23:AV23,MATCH(FALSE,ISBLANK(L23:AV23),0))))+1,FIND("!",_xlfn.FORMULATEXT(INDEX(L23:AV23,MATCH(FALSE,ISBLANK(L23:AV23),0))))-2))</f>
        <v>Calculations_SO</v>
      </c>
      <c r="E23" t="s">
        <v>1143</v>
      </c>
      <c r="G23" t="str">
        <f t="shared" ref="G23:G26" si="2">nominal</f>
        <v>£m nominal</v>
      </c>
      <c r="AU23" s="95">
        <f>Calculations_SO!AU104</f>
        <v>172.05415388768523</v>
      </c>
      <c r="AV23" s="69">
        <f>Calculations_SO!AV104</f>
        <v>185.0126811196202</v>
      </c>
      <c r="AW23" s="69">
        <f>Calculations_SO!AW104</f>
        <v>203.41865007908612</v>
      </c>
      <c r="AX23" s="69">
        <f>Calculations_SO!AX104</f>
        <v>218.60337112154861</v>
      </c>
      <c r="AY23" s="69">
        <f>Calculations_SO!AY104</f>
        <v>225.16581946244798</v>
      </c>
      <c r="BA23" s="44"/>
    </row>
    <row r="24" spans="4:58" outlineLevel="1">
      <c r="D24" s="1" t="str" cm="1">
        <f t="array" aca="1" ref="D24" ca="1">IFERROR(MID(_xlfn.FORMULATEXT(I24),FIND("=",_xlfn.FORMULATEXT(I24))+1,FIND("!",_xlfn.FORMULATEXT(I24))-2),MID(_xlfn.FORMULATEXT(INDEX(L24:AV24,MATCH(FALSE,ISBLANK(L24:AV24),0))),FIND("=",_xlfn.FORMULATEXT(INDEX(L24:AV24,MATCH(FALSE,ISBLANK(L24:AV24),0))))+1,FIND("!",_xlfn.FORMULATEXT(INDEX(L24:AV24,MATCH(FALSE,ISBLANK(L24:AV24),0))))-2))</f>
        <v>Transform_TO</v>
      </c>
      <c r="E24" t="s">
        <v>92</v>
      </c>
      <c r="G24" t="s">
        <v>33</v>
      </c>
      <c r="I24" s="70">
        <f>Transform_TO!I213</f>
        <v>0.6</v>
      </c>
    </row>
    <row r="25" spans="4:58" outlineLevel="1">
      <c r="D25" s="1" t="str" cm="1">
        <f t="array" aca="1" ref="D25" ca="1">IFERROR(MID(_xlfn.FORMULATEXT(I25),FIND("=",_xlfn.FORMULATEXT(I25))+1,FIND("!",_xlfn.FORMULATEXT(I25))-2),MID(_xlfn.FORMULATEXT(INDEX(L25:AV25,MATCH(FALSE,ISBLANK(L25:AV25),0))),FIND("=",_xlfn.FORMULATEXT(INDEX(L25:AV25,MATCH(FALSE,ISBLANK(L25:AV25),0))))+1,FIND("!",_xlfn.FORMULATEXT(INDEX(L25:AV25,MATCH(FALSE,ISBLANK(L25:AV25),0))))-2))</f>
        <v>'Return&amp;RAV'</v>
      </c>
      <c r="E25" t="s">
        <v>1144</v>
      </c>
      <c r="G25" t="str">
        <f>nominal</f>
        <v>£m nominal</v>
      </c>
      <c r="AU25" s="95">
        <f>'Return&amp;RAV'!AU30</f>
        <v>8228.5351417281017</v>
      </c>
      <c r="AV25" s="69">
        <f>'Return&amp;RAV'!AV30</f>
        <v>8751.9406809772827</v>
      </c>
      <c r="AW25" s="69">
        <f>'Return&amp;RAV'!AW30</f>
        <v>9301.8715066566838</v>
      </c>
      <c r="AX25" s="69">
        <f>'Return&amp;RAV'!AX30</f>
        <v>9549.6476874507935</v>
      </c>
      <c r="AY25" s="69">
        <f>'Return&amp;RAV'!AY30</f>
        <v>9717.0696382687311</v>
      </c>
    </row>
    <row r="26" spans="4:58" outlineLevel="1">
      <c r="D26" s="1" t="str" cm="1">
        <f t="array" aca="1" ref="D26" ca="1">IFERROR(MID(_xlfn.FORMULATEXT(I26),FIND("=",_xlfn.FORMULATEXT(I26))+1,FIND("!",_xlfn.FORMULATEXT(I26))-2),MID(_xlfn.FORMULATEXT(INDEX(L26:AV26,MATCH(FALSE,ISBLANK(L26:AV26),0))),FIND("=",_xlfn.FORMULATEXT(INDEX(L26:AV26,MATCH(FALSE,ISBLANK(L26:AV26),0))))+1,FIND("!",_xlfn.FORMULATEXT(INDEX(L26:AV26,MATCH(FALSE,ISBLANK(L26:AV26),0))))-2))</f>
        <v>Calculations_SO</v>
      </c>
      <c r="E26" t="s">
        <v>1145</v>
      </c>
      <c r="G26" t="str">
        <f t="shared" si="2"/>
        <v>£m nominal</v>
      </c>
      <c r="AU26" s="95">
        <f>Calculations_SO!AU109</f>
        <v>185.0126811196202</v>
      </c>
      <c r="AV26" s="69">
        <f>Calculations_SO!AV109</f>
        <v>203.41865007908612</v>
      </c>
      <c r="AW26" s="69">
        <f>Calculations_SO!AW109</f>
        <v>218.60337112154861</v>
      </c>
      <c r="AX26" s="69">
        <f>Calculations_SO!AX109</f>
        <v>225.16581946244798</v>
      </c>
      <c r="AY26" s="69">
        <f>Calculations_SO!AY109</f>
        <v>224.01045846339855</v>
      </c>
      <c r="BA26" s="44"/>
    </row>
    <row r="27" spans="4:58" ht="14.5" outlineLevel="1">
      <c r="BA27"/>
      <c r="BB27"/>
      <c r="BC27"/>
      <c r="BD27"/>
      <c r="BF27"/>
    </row>
    <row r="28" spans="4:58" outlineLevel="1">
      <c r="D28" s="1" t="str" cm="1">
        <f t="array" aca="1" ref="D28" ca="1">IFERROR(MID(_xlfn.FORMULATEXT(I28),FIND("=",_xlfn.FORMULATEXT(I28))+1,FIND("!",_xlfn.FORMULATEXT(I28))-2),MID(_xlfn.FORMULATEXT(INDEX(L28:AV28,MATCH(FALSE,ISBLANK(L28:AV28),0))),FIND("=",_xlfn.FORMULATEXT(INDEX(L28:AV28,MATCH(FALSE,ISBLANK(L28:AV28),0))))+1,FIND("!",_xlfn.FORMULATEXT(INDEX(L28:AV28,MATCH(FALSE,ISBLANK(L28:AV28),0))))-2))</f>
        <v>Transform_TO</v>
      </c>
      <c r="E28" t="s">
        <v>394</v>
      </c>
      <c r="G28" t="s">
        <v>1154</v>
      </c>
      <c r="AU28" s="99">
        <f>Transform_TO!AU179</f>
        <v>5.13262200000002E-2</v>
      </c>
      <c r="AV28" s="70">
        <f>Transform_TO!AV179</f>
        <v>5.2245390000000169E-2</v>
      </c>
      <c r="AW28" s="70">
        <f>Transform_TO!AW179</f>
        <v>5.3062429999999994E-2</v>
      </c>
      <c r="AX28" s="70">
        <f>Transform_TO!AX179</f>
        <v>5.418586000000003E-2</v>
      </c>
      <c r="AY28" s="70">
        <f>Transform_TO!AY179</f>
        <v>5.5513550000000134E-2</v>
      </c>
      <c r="AZ28" s="1"/>
      <c r="BA28" s="44"/>
    </row>
    <row r="29" spans="4:58" outlineLevel="1">
      <c r="D29" s="1" t="str" cm="1">
        <f t="array" aca="1" ref="D29" ca="1">IFERROR(MID(_xlfn.FORMULATEXT(I29),FIND("=",_xlfn.FORMULATEXT(I29))+1,FIND("!",_xlfn.FORMULATEXT(I29))-2),MID(_xlfn.FORMULATEXT(INDEX(L29:AV29,MATCH(FALSE,ISBLANK(L29:AV29),0))),FIND("=",_xlfn.FORMULATEXT(INDEX(L29:AV29,MATCH(FALSE,ISBLANK(L29:AV29),0))))+1,FIND("!",_xlfn.FORMULATEXT(INDEX(L29:AV29,MATCH(FALSE,ISBLANK(L29:AV29),0))))-2))</f>
        <v>Transform_TO</v>
      </c>
      <c r="E29" t="s">
        <v>715</v>
      </c>
      <c r="G29" t="s">
        <v>1154</v>
      </c>
      <c r="AU29" s="99">
        <f>Transform_TO!AU180</f>
        <v>5.2724128784066293E-2</v>
      </c>
      <c r="AV29" s="70">
        <f>Transform_TO!AV180</f>
        <v>5.2307798632339697E-2</v>
      </c>
      <c r="AW29" s="70">
        <f>Transform_TO!AW180</f>
        <v>5.2977332850928649E-2</v>
      </c>
      <c r="AX29" s="70">
        <f>Transform_TO!AX180</f>
        <v>5.3947608315541018E-2</v>
      </c>
      <c r="AY29" s="70">
        <f>Transform_TO!AY180</f>
        <v>5.5530722537807664E-2</v>
      </c>
      <c r="AZ29" s="1"/>
      <c r="BA29" s="44"/>
    </row>
    <row r="30" spans="4:58" outlineLevel="1">
      <c r="D30" s="1" t="str" cm="1">
        <f t="array" aca="1" ref="D30" ca="1">IFERROR(MID(_xlfn.FORMULATEXT(I30),FIND("=",_xlfn.FORMULATEXT(I30))+1,FIND("!",_xlfn.FORMULATEXT(I30))-2),MID(_xlfn.FORMULATEXT(INDEX(L30:AV30,MATCH(FALSE,ISBLANK(L30:AV30),0))),FIND("=",_xlfn.FORMULATEXT(INDEX(L30:AV30,MATCH(FALSE,ISBLANK(L30:AV30),0))))+1,FIND("!",_xlfn.FORMULATEXT(INDEX(L30:AV30,MATCH(FALSE,ISBLANK(L30:AV30),0))))-2))</f>
        <v>Revenue_TO</v>
      </c>
      <c r="E30" t="s">
        <v>231</v>
      </c>
      <c r="G30" t="str">
        <f t="shared" si="0"/>
        <v>£m 23/24 prices</v>
      </c>
      <c r="AU30" s="95">
        <f>Revenue_TO!AU11</f>
        <v>1186.0554517895664</v>
      </c>
      <c r="AV30" s="69">
        <f>Revenue_TO!AV11</f>
        <v>1255.5546774378242</v>
      </c>
      <c r="AW30" s="69">
        <f>Revenue_TO!AW11</f>
        <v>1308.1383469140769</v>
      </c>
      <c r="AX30" s="69">
        <f>Revenue_TO!AX11</f>
        <v>1300.9164466657778</v>
      </c>
      <c r="AY30" s="69">
        <f>Revenue_TO!AY11</f>
        <v>1323.630937670772</v>
      </c>
      <c r="AZ30" s="1"/>
      <c r="BA30" s="44"/>
    </row>
    <row r="31" spans="4:58" outlineLevel="1">
      <c r="D31" s="1" t="str" cm="1">
        <f t="array" aca="1" ref="D31" ca="1">IFERROR(MID(_xlfn.FORMULATEXT(I31),FIND("=",_xlfn.FORMULATEXT(I31))+1,FIND("!",_xlfn.FORMULATEXT(I31))-2),MID(_xlfn.FORMULATEXT(INDEX(L31:AV31,MATCH(FALSE,ISBLANK(L31:AV31),0))),FIND("=",_xlfn.FORMULATEXT(INDEX(L31:AV31,MATCH(FALSE,ISBLANK(L31:AV31),0))))+1,FIND("!",_xlfn.FORMULATEXT(INDEX(L31:AV31,MATCH(FALSE,ISBLANK(L31:AV31),0))))-2))</f>
        <v>Revenue_TO</v>
      </c>
      <c r="E31" t="s">
        <v>642</v>
      </c>
      <c r="G31" t="str">
        <f t="shared" si="0"/>
        <v>£m 23/24 prices</v>
      </c>
      <c r="AU31" s="95">
        <f>Revenue_TO!AU12</f>
        <v>0</v>
      </c>
      <c r="AV31" s="69">
        <f>Revenue_TO!AV12</f>
        <v>0</v>
      </c>
      <c r="AW31" s="69">
        <f>Revenue_TO!AW12</f>
        <v>0</v>
      </c>
      <c r="AX31" s="69">
        <f>Revenue_TO!AX12</f>
        <v>0</v>
      </c>
      <c r="AY31" s="69">
        <f>Revenue_TO!AY12</f>
        <v>0</v>
      </c>
      <c r="AZ31" s="1"/>
      <c r="BA31" s="44"/>
    </row>
    <row r="32" spans="4:58" outlineLevel="1">
      <c r="D32" s="1" t="str" cm="1">
        <f t="array" aca="1" ref="D32" ca="1">IFERROR(MID(_xlfn.FORMULATEXT(I32),FIND("=",_xlfn.FORMULATEXT(I32))+1,FIND("!",_xlfn.FORMULATEXT(I32))-2),MID(_xlfn.FORMULATEXT(INDEX(L32:AV32,MATCH(FALSE,ISBLANK(L32:AV32),0))),FIND("=",_xlfn.FORMULATEXT(INDEX(L32:AV32,MATCH(FALSE,ISBLANK(L32:AV32),0))))+1,FIND("!",_xlfn.FORMULATEXT(INDEX(L32:AV32,MATCH(FALSE,ISBLANK(L32:AV32),0))))-2))</f>
        <v>Revenue_TO</v>
      </c>
      <c r="E32" t="s">
        <v>389</v>
      </c>
      <c r="G32" t="str">
        <f t="shared" si="0"/>
        <v>£m 23/24 prices</v>
      </c>
      <c r="AU32" s="95">
        <f>Revenue_TO!AU14</f>
        <v>0</v>
      </c>
      <c r="AV32" s="69">
        <f>Revenue_TO!AV14</f>
        <v>0</v>
      </c>
      <c r="AW32" s="69">
        <f>Revenue_TO!AW14</f>
        <v>0</v>
      </c>
      <c r="AX32" s="69">
        <f>Revenue_TO!AX14</f>
        <v>0</v>
      </c>
      <c r="AY32" s="69">
        <f>Revenue_TO!AY14</f>
        <v>0</v>
      </c>
      <c r="AZ32" s="1"/>
      <c r="BA32" s="44"/>
    </row>
    <row r="33" spans="1:54" outlineLevel="1">
      <c r="D33" s="1" t="str" cm="1">
        <f t="array" aca="1" ref="D33" ca="1">IFERROR(MID(_xlfn.FORMULATEXT(I33),FIND("=",_xlfn.FORMULATEXT(I33))+1,FIND("!",_xlfn.FORMULATEXT(I33))-2),MID(_xlfn.FORMULATEXT(INDEX(L33:AV33,MATCH(FALSE,ISBLANK(L33:AV33),0))),FIND("=",_xlfn.FORMULATEXT(INDEX(L33:AV33,MATCH(FALSE,ISBLANK(L33:AV33),0))))+1,FIND("!",_xlfn.FORMULATEXT(INDEX(L33:AV33,MATCH(FALSE,ISBLANK(L33:AV33),0))))-2))</f>
        <v>Revenue_TO</v>
      </c>
      <c r="E33" t="s">
        <v>339</v>
      </c>
      <c r="G33" t="str">
        <f t="shared" si="0"/>
        <v>£m 23/24 prices</v>
      </c>
      <c r="AU33" s="95">
        <f>Revenue_TO!AU15</f>
        <v>1.98</v>
      </c>
      <c r="AV33" s="69">
        <f>Revenue_TO!AV15</f>
        <v>1.9550000000000001</v>
      </c>
      <c r="AW33" s="69">
        <f>Revenue_TO!AW15</f>
        <v>1.9330000000000001</v>
      </c>
      <c r="AX33" s="69">
        <f>Revenue_TO!AX15</f>
        <v>1.905</v>
      </c>
      <c r="AY33" s="69">
        <f>Revenue_TO!AY15</f>
        <v>1.873</v>
      </c>
      <c r="AZ33" s="1"/>
      <c r="BA33" s="44"/>
    </row>
    <row r="34" spans="1:54" outlineLevel="1">
      <c r="D34" s="1" t="str" cm="1">
        <f t="array" aca="1" ref="D34" ca="1">IFERROR(MID(_xlfn.FORMULATEXT(I34),FIND("=",_xlfn.FORMULATEXT(I34))+1,FIND("!",_xlfn.FORMULATEXT(I34))-2),MID(_xlfn.FORMULATEXT(INDEX(L34:AV34,MATCH(FALSE,ISBLANK(L34:AV34),0))),FIND("=",_xlfn.FORMULATEXT(INDEX(L34:AV34,MATCH(FALSE,ISBLANK(L34:AV34),0))))+1,FIND("!",_xlfn.FORMULATEXT(INDEX(L34:AV34,MATCH(FALSE,ISBLANK(L34:AV34),0))))-2))</f>
        <v>Revenue_TO</v>
      </c>
      <c r="E34" t="s">
        <v>114</v>
      </c>
      <c r="G34" t="str">
        <f t="shared" si="0"/>
        <v>£m 23/24 prices</v>
      </c>
      <c r="AU34" s="95">
        <f>Revenue_TO!AU16</f>
        <v>0</v>
      </c>
      <c r="AV34" s="69">
        <f>Revenue_TO!AV16</f>
        <v>0</v>
      </c>
      <c r="AW34" s="69">
        <f>Revenue_TO!AW16</f>
        <v>0</v>
      </c>
      <c r="AX34" s="69">
        <f>Revenue_TO!AX16</f>
        <v>0</v>
      </c>
      <c r="AY34" s="69">
        <f>Revenue_TO!AY16</f>
        <v>0</v>
      </c>
      <c r="AZ34" s="1"/>
      <c r="BA34" s="44"/>
    </row>
    <row r="35" spans="1:54" outlineLevel="1">
      <c r="D35" s="1" t="str" cm="1">
        <f t="array" aca="1" ref="D35" ca="1">IFERROR(MID(_xlfn.FORMULATEXT(I35),FIND("=",_xlfn.FORMULATEXT(I35))+1,FIND("!",_xlfn.FORMULATEXT(I35))-2),MID(_xlfn.FORMULATEXT(INDEX(L35:AV35,MATCH(FALSE,ISBLANK(L35:AV35),0))),FIND("=",_xlfn.FORMULATEXT(INDEX(L35:AV35,MATCH(FALSE,ISBLANK(L35:AV35),0))))+1,FIND("!",_xlfn.FORMULATEXT(INDEX(L35:AV35,MATCH(FALSE,ISBLANK(L35:AV35),0))))-2))</f>
        <v>Revenue_TO</v>
      </c>
      <c r="E35" t="s">
        <v>115</v>
      </c>
      <c r="G35" t="str">
        <f t="shared" si="0"/>
        <v>£m 23/24 prices</v>
      </c>
      <c r="AU35" s="95">
        <f>Revenue_TO!AU17</f>
        <v>1.2911900447827076</v>
      </c>
      <c r="AV35" s="69">
        <f>Revenue_TO!AV17</f>
        <v>7.1785688080487731</v>
      </c>
      <c r="AW35" s="69">
        <f>Revenue_TO!AW17</f>
        <v>6.3646399186250271</v>
      </c>
      <c r="AX35" s="69">
        <f>Revenue_TO!AX17</f>
        <v>6.275337659357441</v>
      </c>
      <c r="AY35" s="69">
        <f>Revenue_TO!AY17</f>
        <v>5.9402774576859372</v>
      </c>
      <c r="AZ35" s="1"/>
      <c r="BA35" s="44"/>
    </row>
    <row r="36" spans="1:54" outlineLevel="1">
      <c r="D36" s="1" t="str" cm="1">
        <f t="array" aca="1" ref="D36" ca="1">IFERROR(MID(_xlfn.FORMULATEXT(I36),FIND("=",_xlfn.FORMULATEXT(I36))+1,FIND("!",_xlfn.FORMULATEXT(I36))-2),MID(_xlfn.FORMULATEXT(INDEX(L36:AV36,MATCH(FALSE,ISBLANK(L36:AV36),0))),FIND("=",_xlfn.FORMULATEXT(INDEX(L36:AV36,MATCH(FALSE,ISBLANK(L36:AV36),0))))+1,FIND("!",_xlfn.FORMULATEXT(INDEX(L36:AV36,MATCH(FALSE,ISBLANK(L36:AV36),0))))-2))</f>
        <v>Transform_TO</v>
      </c>
      <c r="E36" t="s">
        <v>96</v>
      </c>
      <c r="G36" t="s">
        <v>33</v>
      </c>
      <c r="AU36" s="99">
        <f>Transform_TO!AU214</f>
        <v>0</v>
      </c>
      <c r="AV36" s="70">
        <f>Transform_TO!AV214</f>
        <v>0</v>
      </c>
      <c r="AW36" s="70">
        <f>Transform_TO!AW214</f>
        <v>0</v>
      </c>
      <c r="AX36" s="70">
        <f>Transform_TO!AX214</f>
        <v>0</v>
      </c>
      <c r="AY36" s="70">
        <f>Transform_TO!AY214</f>
        <v>0</v>
      </c>
    </row>
    <row r="37" spans="1:54" outlineLevel="1">
      <c r="D37" s="1" t="str" cm="1">
        <f t="array" aca="1" ref="D37" ca="1">IFERROR(MID(_xlfn.FORMULATEXT(I37),FIND("=",_xlfn.FORMULATEXT(I37))+1,FIND("!",_xlfn.FORMULATEXT(I37))-2),MID(_xlfn.FORMULATEXT(INDEX(L37:AV37,MATCH(FALSE,ISBLANK(L37:AV37),0))),FIND("=",_xlfn.FORMULATEXT(INDEX(L37:AV37,MATCH(FALSE,ISBLANK(L37:AV37),0))))+1,FIND("!",_xlfn.FORMULATEXT(INDEX(L37:AV37,MATCH(FALSE,ISBLANK(L37:AV37),0))))-2))</f>
        <v>Transform_TO</v>
      </c>
      <c r="E37" t="s">
        <v>97</v>
      </c>
      <c r="G37" t="s">
        <v>33</v>
      </c>
      <c r="AU37" s="99">
        <f>Transform_TO!AU215</f>
        <v>0.05</v>
      </c>
      <c r="AV37" s="70">
        <f>Transform_TO!AV215</f>
        <v>0.05</v>
      </c>
      <c r="AW37" s="70">
        <f>Transform_TO!AW215</f>
        <v>0.05</v>
      </c>
      <c r="AX37" s="70">
        <f>Transform_TO!AX215</f>
        <v>0.05</v>
      </c>
      <c r="AY37" s="70">
        <f>Transform_TO!AY215</f>
        <v>0.05</v>
      </c>
    </row>
    <row r="38" spans="1:54" outlineLevel="1">
      <c r="D38" s="1" t="str" cm="1">
        <f t="array" aca="1" ref="D38" ca="1">IFERROR(MID(_xlfn.FORMULATEXT(I38),FIND("=",_xlfn.FORMULATEXT(I38))+1,FIND("!",_xlfn.FORMULATEXT(I38))-2),MID(_xlfn.FORMULATEXT(INDEX(L38:AV38,MATCH(FALSE,ISBLANK(L38:AV38),0))),FIND("=",_xlfn.FORMULATEXT(INDEX(L38:AV38,MATCH(FALSE,ISBLANK(L38:AV38),0))))+1,FIND("!",_xlfn.FORMULATEXT(INDEX(L38:AV38,MATCH(FALSE,ISBLANK(L38:AV38),0))))-2))</f>
        <v>Transform_TO</v>
      </c>
      <c r="E38" t="s">
        <v>725</v>
      </c>
      <c r="G38" t="s">
        <v>33</v>
      </c>
      <c r="AU38" s="99">
        <f>Transform_TO!AU216</f>
        <v>0.03</v>
      </c>
      <c r="AV38" s="70">
        <f>Transform_TO!AV216</f>
        <v>0.03</v>
      </c>
      <c r="AW38" s="70">
        <f>Transform_TO!AW216</f>
        <v>0.03</v>
      </c>
      <c r="AX38" s="70">
        <f>Transform_TO!AX216</f>
        <v>0.03</v>
      </c>
      <c r="AY38" s="70">
        <f>Transform_TO!AY216</f>
        <v>0.03</v>
      </c>
    </row>
    <row r="39" spans="1:54" outlineLevel="1">
      <c r="D39" s="1" t="str" cm="1">
        <f t="array" aca="1" ref="D39" ca="1">IFERROR(MID(_xlfn.FORMULATEXT(I39),FIND("=",_xlfn.FORMULATEXT(I39))+1,FIND("!",_xlfn.FORMULATEXT(I39))-2),MID(_xlfn.FORMULATEXT(INDEX(L39:AV39,MATCH(FALSE,ISBLANK(L39:AV39),0))),FIND("=",_xlfn.FORMULATEXT(INDEX(L39:AV39,MATCH(FALSE,ISBLANK(L39:AV39),0))))+1,FIND("!",_xlfn.FORMULATEXT(INDEX(L39:AV39,MATCH(FALSE,ISBLANK(L39:AV39),0))))-2))</f>
        <v>Transform_TO</v>
      </c>
      <c r="E39" t="s">
        <v>99</v>
      </c>
      <c r="G39" t="s">
        <v>33</v>
      </c>
      <c r="AU39" s="99">
        <f>Transform_TO!AU217</f>
        <v>0.3</v>
      </c>
      <c r="AV39" s="70">
        <f>Transform_TO!AV217</f>
        <v>0.3</v>
      </c>
      <c r="AW39" s="70">
        <f>Transform_TO!AW217</f>
        <v>0.3</v>
      </c>
      <c r="AX39" s="70">
        <f>Transform_TO!AX217</f>
        <v>0.3</v>
      </c>
      <c r="AY39" s="70">
        <f>Transform_TO!AY217</f>
        <v>0.3</v>
      </c>
    </row>
    <row r="40" spans="1:54" outlineLevel="1">
      <c r="D40" s="1" t="str" cm="1">
        <f t="array" aca="1" ref="D40" ca="1">IFERROR(MID(_xlfn.FORMULATEXT(I40),FIND("=",_xlfn.FORMULATEXT(I40))+1,FIND("!",_xlfn.FORMULATEXT(I40))-2),MID(_xlfn.FORMULATEXT(INDEX(L40:AV40,MATCH(FALSE,ISBLANK(L40:AV40),0))),FIND("=",_xlfn.FORMULATEXT(INDEX(L40:AV40,MATCH(FALSE,ISBLANK(L40:AV40),0))))+1,FIND("!",_xlfn.FORMULATEXT(INDEX(L40:AV40,MATCH(FALSE,ISBLANK(L40:AV40),0))))-2))</f>
        <v>Transform_TO</v>
      </c>
      <c r="E40" t="s">
        <v>520</v>
      </c>
      <c r="G40" t="s">
        <v>33</v>
      </c>
      <c r="AU40" s="99">
        <f>Transform_TO!AU162</f>
        <v>2.265798405291064E-2</v>
      </c>
      <c r="AV40" s="70">
        <f>Transform_TO!AV162</f>
        <v>2.1360573262486415E-2</v>
      </c>
      <c r="AW40" s="70">
        <f>Transform_TO!AW162</f>
        <v>2.1217469547986312E-2</v>
      </c>
      <c r="AX40" s="70">
        <f>Transform_TO!AX162</f>
        <v>2.1069180697094625E-2</v>
      </c>
      <c r="AY40" s="70">
        <f>Transform_TO!AY162</f>
        <v>2.1316615904990455E-2</v>
      </c>
    </row>
    <row r="41" spans="1:54">
      <c r="A41" s="2"/>
      <c r="BA41" s="44"/>
    </row>
    <row r="42" spans="1:54" ht="20" thickBot="1">
      <c r="A42" s="15" t="s">
        <v>195</v>
      </c>
      <c r="B42" s="2"/>
      <c r="BA42" s="44"/>
    </row>
    <row r="43" spans="1:54" ht="16.5" thickTop="1">
      <c r="E43" t="s">
        <v>152</v>
      </c>
      <c r="G43" t="str">
        <f>nominal</f>
        <v>£m nominal</v>
      </c>
      <c r="AU43" s="97">
        <f t="shared" ref="AU43:AY43" si="3">AT66</f>
        <v>0</v>
      </c>
      <c r="AV43" s="38">
        <f t="shared" ca="1" si="3"/>
        <v>-5048.1286937086343</v>
      </c>
      <c r="AW43" s="38">
        <f t="shared" ca="1" si="3"/>
        <v>-5373.2155986338203</v>
      </c>
      <c r="AX43" s="38">
        <f t="shared" ca="1" si="3"/>
        <v>-5712.2849266669418</v>
      </c>
      <c r="AY43" s="38">
        <f t="shared" ca="1" si="3"/>
        <v>-5864.8881041479463</v>
      </c>
      <c r="BA43" s="44" t="str">
        <f ca="1">$A$1</f>
        <v>Finance</v>
      </c>
      <c r="BB43" s="1" t="str">
        <f t="shared" ref="BB43:BB57" si="4">$A$42</f>
        <v>Core net debt</v>
      </c>
    </row>
    <row r="44" spans="1:54">
      <c r="E44" t="s">
        <v>196</v>
      </c>
      <c r="G44" t="str">
        <f t="shared" ref="G44:G66" si="5">nominal</f>
        <v>£m nominal</v>
      </c>
      <c r="AU44" s="96">
        <f>-AU7*AU70*StartingBalance</f>
        <v>-4875.1114359037556</v>
      </c>
      <c r="AV44" s="61">
        <f>-AV7*AV70*StartingBalance</f>
        <v>0</v>
      </c>
      <c r="AW44" s="61">
        <f>-AW7*AW70*StartingBalance</f>
        <v>0</v>
      </c>
      <c r="AX44" s="61">
        <f>-AX7*AX70*StartingBalance</f>
        <v>0</v>
      </c>
      <c r="AY44" s="61">
        <f>-AY7*AY70*StartingBalance</f>
        <v>0</v>
      </c>
      <c r="BA44" s="44" t="str">
        <f t="shared" ref="BA44:BA77" ca="1" si="6">$A$1</f>
        <v>Finance</v>
      </c>
      <c r="BB44" s="1" t="str">
        <f t="shared" si="4"/>
        <v>Core net debt</v>
      </c>
    </row>
    <row r="45" spans="1:54">
      <c r="E45" t="s">
        <v>522</v>
      </c>
      <c r="G45" t="str">
        <f t="shared" si="5"/>
        <v>£m nominal</v>
      </c>
      <c r="AU45" s="141">
        <f>SUM(AU43:AU44)</f>
        <v>-4875.1114359037556</v>
      </c>
      <c r="AV45" s="65">
        <f ca="1">SUM(AV43:AV44)</f>
        <v>-5048.1286937086343</v>
      </c>
      <c r="AW45" s="65">
        <f ca="1">SUM(AW43:AW44)</f>
        <v>-5373.2155986338203</v>
      </c>
      <c r="AX45" s="65">
        <f ca="1">SUM(AX43:AX44)</f>
        <v>-5712.2849266669418</v>
      </c>
      <c r="AY45" s="65">
        <f ca="1">SUM(AY43:AY44)</f>
        <v>-5864.8881041479463</v>
      </c>
      <c r="BA45" s="44" t="str">
        <f t="shared" ca="1" si="6"/>
        <v>Finance</v>
      </c>
      <c r="BB45" s="1" t="str">
        <f t="shared" si="4"/>
        <v>Core net debt</v>
      </c>
    </row>
    <row r="46" spans="1:54">
      <c r="E46" t="s">
        <v>659</v>
      </c>
      <c r="G46" t="str">
        <f t="shared" si="5"/>
        <v>£m nominal</v>
      </c>
      <c r="AU46" s="97">
        <f t="shared" ref="AU46:AY48" si="7">AU8*PCf</f>
        <v>1303.1179309748766</v>
      </c>
      <c r="AV46" s="38">
        <f t="shared" ca="1" si="7"/>
        <v>1417.4105298597528</v>
      </c>
      <c r="AW46" s="38">
        <f t="shared" ca="1" si="7"/>
        <v>1506.457868030848</v>
      </c>
      <c r="AX46" s="38">
        <f t="shared" ca="1" si="7"/>
        <v>1527.4469011332469</v>
      </c>
      <c r="AY46" s="38">
        <f t="shared" ca="1" si="7"/>
        <v>1586.6375866849801</v>
      </c>
      <c r="BA46" s="44" t="str">
        <f t="shared" ca="1" si="6"/>
        <v>Finance</v>
      </c>
      <c r="BB46" s="1" t="str">
        <f t="shared" si="4"/>
        <v>Core net debt</v>
      </c>
    </row>
    <row r="47" spans="1:54">
      <c r="E47" t="s">
        <v>660</v>
      </c>
      <c r="G47" t="str">
        <f t="shared" si="5"/>
        <v>£m nominal</v>
      </c>
      <c r="AU47" s="97">
        <f t="shared" si="7"/>
        <v>365.02192396342951</v>
      </c>
      <c r="AV47" s="38">
        <f t="shared" si="7"/>
        <v>331.43236936009066</v>
      </c>
      <c r="AW47" s="38">
        <f t="shared" si="7"/>
        <v>319.19178867821324</v>
      </c>
      <c r="AX47" s="38">
        <f t="shared" si="7"/>
        <v>316.1802223659966</v>
      </c>
      <c r="AY47" s="38">
        <f t="shared" si="7"/>
        <v>315.27814470540102</v>
      </c>
      <c r="BA47" s="44" t="str">
        <f t="shared" ca="1" si="6"/>
        <v>Finance</v>
      </c>
      <c r="BB47" s="1" t="str">
        <f t="shared" si="4"/>
        <v>Core net debt</v>
      </c>
    </row>
    <row r="48" spans="1:54">
      <c r="E48" t="s">
        <v>643</v>
      </c>
      <c r="G48" t="str">
        <f t="shared" si="5"/>
        <v>£m nominal</v>
      </c>
      <c r="AU48" s="97">
        <f t="shared" si="7"/>
        <v>0</v>
      </c>
      <c r="AV48" s="38">
        <f t="shared" si="7"/>
        <v>0</v>
      </c>
      <c r="AW48" s="38">
        <f t="shared" si="7"/>
        <v>0</v>
      </c>
      <c r="AX48" s="38">
        <f t="shared" si="7"/>
        <v>0</v>
      </c>
      <c r="AY48" s="38">
        <f t="shared" si="7"/>
        <v>0</v>
      </c>
      <c r="BA48" s="44" t="str">
        <f t="shared" ca="1" si="6"/>
        <v>Finance</v>
      </c>
      <c r="BB48" s="1" t="str">
        <f t="shared" si="4"/>
        <v>Core net debt</v>
      </c>
    </row>
    <row r="49" spans="5:58">
      <c r="E49" t="s">
        <v>661</v>
      </c>
      <c r="G49" t="str">
        <f t="shared" si="5"/>
        <v>£m nominal</v>
      </c>
      <c r="AU49" s="97">
        <f t="shared" ref="AU49:AY54" si="8">-AU11*PCf</f>
        <v>-946.17548046469994</v>
      </c>
      <c r="AV49" s="38">
        <f t="shared" si="8"/>
        <v>-1195.741925320227</v>
      </c>
      <c r="AW49" s="38">
        <f t="shared" si="8"/>
        <v>-1268.4207752535597</v>
      </c>
      <c r="AX49" s="38">
        <f t="shared" si="8"/>
        <v>-949.07328348028125</v>
      </c>
      <c r="AY49" s="38">
        <f t="shared" si="8"/>
        <v>-900.49195812884136</v>
      </c>
      <c r="BA49" s="44" t="str">
        <f t="shared" ca="1" si="6"/>
        <v>Finance</v>
      </c>
      <c r="BB49" s="1" t="str">
        <f t="shared" si="4"/>
        <v>Core net debt</v>
      </c>
    </row>
    <row r="50" spans="5:58">
      <c r="E50" t="s">
        <v>662</v>
      </c>
      <c r="G50" t="str">
        <f t="shared" si="5"/>
        <v>£m nominal</v>
      </c>
      <c r="AU50" s="97">
        <f t="shared" si="8"/>
        <v>-142.98633651357579</v>
      </c>
      <c r="AV50" s="38">
        <f t="shared" si="8"/>
        <v>-156.55785451051472</v>
      </c>
      <c r="AW50" s="38">
        <f t="shared" si="8"/>
        <v>-153.23749538924613</v>
      </c>
      <c r="AX50" s="38">
        <f t="shared" si="8"/>
        <v>-140.4283824985126</v>
      </c>
      <c r="AY50" s="38">
        <f t="shared" si="8"/>
        <v>-128.81262903202551</v>
      </c>
      <c r="BA50" s="44" t="str">
        <f t="shared" ca="1" si="6"/>
        <v>Finance</v>
      </c>
      <c r="BB50" s="1" t="str">
        <f t="shared" si="4"/>
        <v>Core net debt</v>
      </c>
    </row>
    <row r="51" spans="5:58">
      <c r="E51" t="s">
        <v>663</v>
      </c>
      <c r="G51" t="str">
        <f t="shared" si="5"/>
        <v>£m nominal</v>
      </c>
      <c r="AU51" s="97">
        <f t="shared" si="8"/>
        <v>-176.25143212597985</v>
      </c>
      <c r="AV51" s="38">
        <f t="shared" si="8"/>
        <v>-201.91376348718865</v>
      </c>
      <c r="AW51" s="38">
        <f t="shared" si="8"/>
        <v>-207.51499379296732</v>
      </c>
      <c r="AX51" s="38">
        <f t="shared" si="8"/>
        <v>-212.67441122630348</v>
      </c>
      <c r="AY51" s="38">
        <f t="shared" si="8"/>
        <v>-218.04385642282011</v>
      </c>
      <c r="BA51" s="44" t="str">
        <f t="shared" ca="1" si="6"/>
        <v>Finance</v>
      </c>
      <c r="BB51" s="1" t="str">
        <f t="shared" si="4"/>
        <v>Core net debt</v>
      </c>
    </row>
    <row r="52" spans="5:58">
      <c r="E52" t="s">
        <v>664</v>
      </c>
      <c r="G52" t="str">
        <f t="shared" si="5"/>
        <v>£m nominal</v>
      </c>
      <c r="AU52" s="97">
        <f t="shared" si="8"/>
        <v>-49.191558251100282</v>
      </c>
      <c r="AV52" s="38">
        <f t="shared" si="8"/>
        <v>-41.51914504195495</v>
      </c>
      <c r="AW52" s="38">
        <f t="shared" si="8"/>
        <v>-42.959728561415155</v>
      </c>
      <c r="AX52" s="38">
        <f t="shared" si="8"/>
        <v>-42.380318145755453</v>
      </c>
      <c r="AY52" s="38">
        <f t="shared" si="8"/>
        <v>-44.057857421024238</v>
      </c>
      <c r="BA52" s="44" t="str">
        <f t="shared" ca="1" si="6"/>
        <v>Finance</v>
      </c>
      <c r="BB52" s="1" t="str">
        <f t="shared" si="4"/>
        <v>Core net debt</v>
      </c>
    </row>
    <row r="53" spans="5:58">
      <c r="E53" t="s">
        <v>665</v>
      </c>
      <c r="G53" t="str">
        <f t="shared" si="5"/>
        <v>£m nominal</v>
      </c>
      <c r="AU53" s="97">
        <f t="shared" si="8"/>
        <v>-1.9373054666137517</v>
      </c>
      <c r="AV53" s="38">
        <f t="shared" si="8"/>
        <v>-8.5665258500473414</v>
      </c>
      <c r="AW53" s="38">
        <f t="shared" si="8"/>
        <v>-7.8181943817250295</v>
      </c>
      <c r="AX53" s="38">
        <f t="shared" si="8"/>
        <v>-7.8787199487547914</v>
      </c>
      <c r="AY53" s="38">
        <f t="shared" si="8"/>
        <v>-7.6473875479894291</v>
      </c>
      <c r="BA53" s="44" t="str">
        <f t="shared" ca="1" si="6"/>
        <v>Finance</v>
      </c>
      <c r="BB53" s="1" t="str">
        <f t="shared" si="4"/>
        <v>Core net debt</v>
      </c>
    </row>
    <row r="54" spans="5:58">
      <c r="E54" t="s">
        <v>666</v>
      </c>
      <c r="G54" t="str">
        <f t="shared" si="5"/>
        <v>£m nominal</v>
      </c>
      <c r="AU54" s="97">
        <f t="shared" si="8"/>
        <v>-175.70577302875793</v>
      </c>
      <c r="AV54" s="38">
        <f t="shared" si="8"/>
        <v>-139.59863078308561</v>
      </c>
      <c r="AW54" s="38">
        <f t="shared" si="8"/>
        <v>-124.85016955096248</v>
      </c>
      <c r="AX54" s="38">
        <f t="shared" si="8"/>
        <v>-125.72961908352646</v>
      </c>
      <c r="AY54" s="38">
        <f t="shared" si="8"/>
        <v>-126.61746322948117</v>
      </c>
      <c r="BA54" s="44" t="str">
        <f t="shared" ca="1" si="6"/>
        <v>Finance</v>
      </c>
      <c r="BB54" s="1" t="str">
        <f t="shared" si="4"/>
        <v>Core net debt</v>
      </c>
    </row>
    <row r="55" spans="5:58">
      <c r="E55" t="s">
        <v>667</v>
      </c>
      <c r="G55" t="str">
        <f t="shared" si="5"/>
        <v>£m nominal</v>
      </c>
      <c r="AU55" s="97">
        <f>-AU102</f>
        <v>-100.96257387417266</v>
      </c>
      <c r="AV55" s="38">
        <f t="shared" ref="AV55:AY55" si="9">-AV102</f>
        <v>-107.46431197267643</v>
      </c>
      <c r="AW55" s="38">
        <f t="shared" si="9"/>
        <v>-114.24569853333878</v>
      </c>
      <c r="AX55" s="38">
        <f t="shared" si="9"/>
        <v>-117.2977620829589</v>
      </c>
      <c r="AY55" s="38">
        <f t="shared" si="9"/>
        <v>-119.29296116078555</v>
      </c>
      <c r="BA55" s="44" t="str">
        <f t="shared" ca="1" si="6"/>
        <v>Finance</v>
      </c>
      <c r="BB55" s="1" t="str">
        <f t="shared" si="4"/>
        <v>Core net debt</v>
      </c>
    </row>
    <row r="56" spans="5:58">
      <c r="E56" t="s">
        <v>668</v>
      </c>
      <c r="G56" t="str">
        <f t="shared" si="5"/>
        <v>£m nominal</v>
      </c>
      <c r="AU56" s="97">
        <f>AU105</f>
        <v>0</v>
      </c>
      <c r="AV56" s="38">
        <f ca="1">AV105</f>
        <v>0</v>
      </c>
      <c r="AW56" s="38">
        <f ca="1">AW105</f>
        <v>0</v>
      </c>
      <c r="AX56" s="38">
        <f ca="1">AX105</f>
        <v>-95.774276656222355</v>
      </c>
      <c r="AY56" s="38">
        <f ca="1">AY105</f>
        <v>-137.20074054688848</v>
      </c>
      <c r="BA56" s="44" t="str">
        <f t="shared" ca="1" si="6"/>
        <v>Finance</v>
      </c>
      <c r="BB56" s="1" t="str">
        <f t="shared" si="4"/>
        <v>Core net debt</v>
      </c>
    </row>
    <row r="57" spans="5:58" ht="14.5">
      <c r="E57" t="s">
        <v>669</v>
      </c>
      <c r="G57" t="str">
        <f t="shared" si="5"/>
        <v>£m nominal</v>
      </c>
      <c r="AU57" s="97">
        <f>AU96</f>
        <v>2.4423305165682905</v>
      </c>
      <c r="AV57" s="38">
        <f t="shared" ref="AV57:AY57" ca="1" si="10">AV96</f>
        <v>45.082284314374192</v>
      </c>
      <c r="AW57" s="38">
        <f t="shared" ca="1" si="10"/>
        <v>42.84643984962986</v>
      </c>
      <c r="AX57" s="38">
        <f t="shared" ca="1" si="10"/>
        <v>0</v>
      </c>
      <c r="AY57" s="38">
        <f t="shared" ca="1" si="10"/>
        <v>0</v>
      </c>
      <c r="BA57" s="44" t="str">
        <f t="shared" ca="1" si="6"/>
        <v>Finance</v>
      </c>
      <c r="BB57" s="1" t="str">
        <f t="shared" si="4"/>
        <v>Core net debt</v>
      </c>
      <c r="BC57"/>
      <c r="BD57"/>
      <c r="BF57"/>
    </row>
    <row r="58" spans="5:58">
      <c r="E58" t="s">
        <v>463</v>
      </c>
      <c r="G58" t="str">
        <f t="shared" si="5"/>
        <v>£m nominal</v>
      </c>
      <c r="AU58" s="97">
        <f>-SUM(AU77,AU99)</f>
        <v>-0.12211652582841453</v>
      </c>
      <c r="AV58" s="38">
        <f ca="1">-SUM(AV77,AV99)</f>
        <v>-2.2541142157187095</v>
      </c>
      <c r="AW58" s="38">
        <f ca="1">-SUM(AW77,AW99)</f>
        <v>-2.1423219924814929</v>
      </c>
      <c r="AX58" s="38">
        <f ca="1">-SUM(AX77,AX99)</f>
        <v>0</v>
      </c>
      <c r="AY58" s="38">
        <f ca="1">-SUM(AY77,AY99)</f>
        <v>0</v>
      </c>
      <c r="BA58" s="44" t="str">
        <f t="shared" ca="1" si="6"/>
        <v>Finance</v>
      </c>
      <c r="BB58" s="1" t="str">
        <f t="shared" ref="BB58:BB66" si="11">$A$42</f>
        <v>Core net debt</v>
      </c>
    </row>
    <row r="59" spans="5:58">
      <c r="E59" t="s">
        <v>194</v>
      </c>
      <c r="G59" t="str">
        <f t="shared" si="5"/>
        <v>£m nominal</v>
      </c>
      <c r="AU59" s="141">
        <f>SUM(AU45:AU58)</f>
        <v>-4797.86182669961</v>
      </c>
      <c r="AV59" s="65">
        <f ca="1">SUM(AV45:AV58)</f>
        <v>-5107.8197813558299</v>
      </c>
      <c r="AW59" s="65">
        <f ca="1">SUM(AW45:AW58)</f>
        <v>-5425.9088795308262</v>
      </c>
      <c r="AX59" s="65">
        <f ca="1">SUM(AX45:AX58)</f>
        <v>-5559.8945762900139</v>
      </c>
      <c r="AY59" s="65">
        <f ca="1">SUM(AY45:AY58)</f>
        <v>-5645.1372262474197</v>
      </c>
      <c r="BA59" s="44" t="str">
        <f t="shared" ca="1" si="6"/>
        <v>Finance</v>
      </c>
      <c r="BB59" s="1" t="str">
        <f t="shared" si="11"/>
        <v>Core net debt</v>
      </c>
    </row>
    <row r="60" spans="5:58">
      <c r="E60" t="s">
        <v>655</v>
      </c>
      <c r="G60" t="str">
        <f t="shared" si="5"/>
        <v>£m nominal</v>
      </c>
      <c r="AU60" s="97">
        <f>AU117</f>
        <v>-217.39135591977976</v>
      </c>
      <c r="AV60" s="38">
        <f t="shared" ref="AV60:AY60" ca="1" si="12">AV117</f>
        <v>-232.85528506024315</v>
      </c>
      <c r="AW60" s="38">
        <f t="shared" ca="1" si="12"/>
        <v>-252.00653292205945</v>
      </c>
      <c r="AX60" s="38">
        <f t="shared" ca="1" si="12"/>
        <v>-269.36918983824916</v>
      </c>
      <c r="AY60" s="38">
        <f t="shared" ca="1" si="12"/>
        <v>-282.70761343814598</v>
      </c>
      <c r="BA60" s="44" t="str">
        <f t="shared" ca="1" si="6"/>
        <v>Finance</v>
      </c>
      <c r="BB60" s="1" t="str">
        <f t="shared" si="11"/>
        <v>Core net debt</v>
      </c>
    </row>
    <row r="61" spans="5:58">
      <c r="E61" t="s">
        <v>656</v>
      </c>
      <c r="G61" t="str">
        <f t="shared" si="5"/>
        <v>£m nominal</v>
      </c>
      <c r="AU61" s="97">
        <f>AU118</f>
        <v>-32.875511089244711</v>
      </c>
      <c r="AV61" s="38">
        <f t="shared" ref="AV61:AY61" ca="1" si="13">AV118</f>
        <v>-32.540532217747753</v>
      </c>
      <c r="AW61" s="38">
        <f t="shared" ca="1" si="13"/>
        <v>-34.369514214055791</v>
      </c>
      <c r="AX61" s="38">
        <f t="shared" ca="1" si="13"/>
        <v>-35.624338019682952</v>
      </c>
      <c r="AY61" s="38">
        <f t="shared" ca="1" si="13"/>
        <v>-36.803218353712325</v>
      </c>
      <c r="BA61" s="44" t="str">
        <f t="shared" ca="1" si="6"/>
        <v>Finance</v>
      </c>
      <c r="BB61" s="1" t="str">
        <f t="shared" si="11"/>
        <v>Core net debt</v>
      </c>
    </row>
    <row r="62" spans="5:58">
      <c r="E62" t="s">
        <v>670</v>
      </c>
      <c r="G62" t="str">
        <f t="shared" si="5"/>
        <v>£m nominal</v>
      </c>
      <c r="AU62" s="97">
        <f t="shared" ref="AU62:AY63" ca="1" si="14">AU17</f>
        <v>24.733644167546117</v>
      </c>
      <c r="AV62" s="38">
        <f t="shared" ca="1" si="14"/>
        <v>0</v>
      </c>
      <c r="AW62" s="38">
        <f t="shared" ca="1" si="14"/>
        <v>0</v>
      </c>
      <c r="AX62" s="38">
        <f t="shared" ca="1" si="14"/>
        <v>48.770583299267777</v>
      </c>
      <c r="AY62" s="38">
        <f t="shared" ca="1" si="14"/>
        <v>81.789276553295238</v>
      </c>
      <c r="BA62" s="44" t="str">
        <f t="shared" ca="1" si="6"/>
        <v>Finance</v>
      </c>
      <c r="BB62" s="1" t="str">
        <f t="shared" si="11"/>
        <v>Core net debt</v>
      </c>
    </row>
    <row r="63" spans="5:58">
      <c r="E63" t="s">
        <v>671</v>
      </c>
      <c r="G63" t="str">
        <f t="shared" si="5"/>
        <v>£m nominal</v>
      </c>
      <c r="AU63" s="97">
        <f t="shared" ca="1" si="14"/>
        <v>5.5619305880886571</v>
      </c>
      <c r="AV63" s="38">
        <f t="shared" ca="1" si="14"/>
        <v>6.5399464560286891</v>
      </c>
      <c r="AW63" s="38">
        <f t="shared" ca="1" si="14"/>
        <v>4.6562467079088394</v>
      </c>
      <c r="AX63" s="38">
        <f t="shared" ca="1" si="14"/>
        <v>2.5951363200296287</v>
      </c>
      <c r="AY63" s="38">
        <f t="shared" ca="1" si="14"/>
        <v>1.6915508659691103</v>
      </c>
      <c r="BA63" s="44" t="str">
        <f t="shared" ca="1" si="6"/>
        <v>Finance</v>
      </c>
      <c r="BB63" s="1" t="str">
        <f t="shared" si="11"/>
        <v>Core net debt</v>
      </c>
    </row>
    <row r="64" spans="5:58">
      <c r="E64" t="s">
        <v>672</v>
      </c>
      <c r="G64" t="str">
        <f t="shared" si="5"/>
        <v>£m nominal</v>
      </c>
      <c r="AU64" s="97">
        <f t="shared" ref="AU64:AY65" ca="1" si="15">-AU19</f>
        <v>-24.733644167546117</v>
      </c>
      <c r="AV64" s="38">
        <f t="shared" ca="1" si="15"/>
        <v>0</v>
      </c>
      <c r="AW64" s="38">
        <f t="shared" ca="1" si="15"/>
        <v>0</v>
      </c>
      <c r="AX64" s="38">
        <f t="shared" ca="1" si="15"/>
        <v>-48.770583299267777</v>
      </c>
      <c r="AY64" s="38">
        <f t="shared" ca="1" si="15"/>
        <v>-81.789276553295238</v>
      </c>
      <c r="BA64" s="44" t="str">
        <f t="shared" ca="1" si="6"/>
        <v>Finance</v>
      </c>
      <c r="BB64" s="1" t="str">
        <f t="shared" si="11"/>
        <v>Core net debt</v>
      </c>
    </row>
    <row r="65" spans="1:58">
      <c r="E65" t="s">
        <v>673</v>
      </c>
      <c r="G65" t="str">
        <f t="shared" si="5"/>
        <v>£m nominal</v>
      </c>
      <c r="AU65" s="97">
        <f t="shared" ca="1" si="15"/>
        <v>-5.5619305880886571</v>
      </c>
      <c r="AV65" s="38">
        <f t="shared" ca="1" si="15"/>
        <v>-6.5399464560286891</v>
      </c>
      <c r="AW65" s="38">
        <f t="shared" ca="1" si="15"/>
        <v>-4.6562467079088394</v>
      </c>
      <c r="AX65" s="38">
        <f t="shared" ca="1" si="15"/>
        <v>-2.5951363200296287</v>
      </c>
      <c r="AY65" s="38">
        <f t="shared" ca="1" si="15"/>
        <v>-1.6915508659691103</v>
      </c>
      <c r="BA65" s="44" t="str">
        <f t="shared" ca="1" si="6"/>
        <v>Finance</v>
      </c>
      <c r="BB65" s="1" t="str">
        <f t="shared" si="11"/>
        <v>Core net debt</v>
      </c>
    </row>
    <row r="66" spans="1:58">
      <c r="E66" t="s">
        <v>198</v>
      </c>
      <c r="G66" t="str">
        <f t="shared" si="5"/>
        <v>£m nominal</v>
      </c>
      <c r="AU66" s="141">
        <f ca="1">SUM(AU59:AU65)</f>
        <v>-5048.1286937086343</v>
      </c>
      <c r="AV66" s="65">
        <f t="shared" ref="AV66:AY66" ca="1" si="16">SUM(AV59:AV65)</f>
        <v>-5373.2155986338203</v>
      </c>
      <c r="AW66" s="65">
        <f t="shared" ca="1" si="16"/>
        <v>-5712.2849266669418</v>
      </c>
      <c r="AX66" s="65">
        <f t="shared" ca="1" si="16"/>
        <v>-5864.8881041479463</v>
      </c>
      <c r="AY66" s="65">
        <f t="shared" ca="1" si="16"/>
        <v>-5964.6480580392781</v>
      </c>
      <c r="BA66" s="44" t="str">
        <f t="shared" ca="1" si="6"/>
        <v>Finance</v>
      </c>
      <c r="BB66" s="1" t="str">
        <f t="shared" si="11"/>
        <v>Core net debt</v>
      </c>
    </row>
    <row r="67" spans="1:58">
      <c r="BA67" s="44"/>
    </row>
    <row r="68" spans="1:58" ht="20" thickBot="1">
      <c r="A68" s="15" t="s">
        <v>199</v>
      </c>
      <c r="BA68" s="44"/>
    </row>
    <row r="69" spans="1:58" ht="18" thickTop="1" thickBot="1">
      <c r="B69" s="17" t="s">
        <v>200</v>
      </c>
      <c r="BA69" s="44"/>
    </row>
    <row r="70" spans="1:58" ht="16.5" thickTop="1">
      <c r="E70" t="s">
        <v>298</v>
      </c>
      <c r="G70" t="str">
        <f>nominal</f>
        <v>£m nominal</v>
      </c>
      <c r="AU70" s="141">
        <f>SUM(AU22,AU23)</f>
        <v>8125.185726506259</v>
      </c>
      <c r="AV70" s="65">
        <f>SUM(AV22,AV23)</f>
        <v>8413.5478228477223</v>
      </c>
      <c r="AW70" s="65">
        <f>SUM(AW22,AW23)</f>
        <v>8955.3593310563683</v>
      </c>
      <c r="AX70" s="65">
        <f>SUM(AX22,AX23)</f>
        <v>9520.4748777782315</v>
      </c>
      <c r="AY70" s="65">
        <f>SUM(AY22,AY23)</f>
        <v>9774.8135069132422</v>
      </c>
      <c r="BA70" s="44" t="str">
        <f t="shared" ca="1" si="6"/>
        <v>Finance</v>
      </c>
      <c r="BB70" s="1" t="str">
        <f>$A$68</f>
        <v>Regearing</v>
      </c>
      <c r="BC70" s="1" t="str">
        <f>$B$69</f>
        <v>Overall opening gearing</v>
      </c>
    </row>
    <row r="71" spans="1:58">
      <c r="E71" t="s">
        <v>329</v>
      </c>
      <c r="G71" t="s">
        <v>33</v>
      </c>
      <c r="AU71" s="144">
        <f>-AU43/AU70</f>
        <v>0</v>
      </c>
      <c r="AV71" s="62">
        <f ca="1">-AV43/AV70</f>
        <v>0.60000000000000009</v>
      </c>
      <c r="AW71" s="62">
        <f ca="1">-AW43/AW70</f>
        <v>0.59999999999999987</v>
      </c>
      <c r="AX71" s="62">
        <f ca="1">-AX43/AX70</f>
        <v>0.60000000000000031</v>
      </c>
      <c r="AY71" s="62">
        <f ca="1">-AY43/AY70</f>
        <v>0.60000000000000009</v>
      </c>
      <c r="BA71" s="44" t="str">
        <f t="shared" ca="1" si="6"/>
        <v>Finance</v>
      </c>
      <c r="BB71" s="1" t="str">
        <f>$A$68</f>
        <v>Regearing</v>
      </c>
      <c r="BC71" s="1" t="str">
        <f>$B$69</f>
        <v>Overall opening gearing</v>
      </c>
    </row>
    <row r="72" spans="1:58">
      <c r="BA72" s="44"/>
    </row>
    <row r="73" spans="1:58" ht="17.5" thickBot="1">
      <c r="B73" s="17" t="s">
        <v>201</v>
      </c>
      <c r="BA73" s="44"/>
    </row>
    <row r="74" spans="1:58" ht="16.5" thickTop="1">
      <c r="E74" t="s">
        <v>94</v>
      </c>
      <c r="G74" t="s">
        <v>33</v>
      </c>
      <c r="AU74" s="105">
        <f>AU7</f>
        <v>0.6</v>
      </c>
      <c r="BA74" s="44" t="str">
        <f t="shared" ca="1" si="6"/>
        <v>Finance</v>
      </c>
      <c r="BB74" s="1" t="str">
        <f>$A$68</f>
        <v>Regearing</v>
      </c>
      <c r="BC74" s="1" t="str">
        <f>$B$73</f>
        <v>Start of price control notional regearing</v>
      </c>
    </row>
    <row r="75" spans="1:58">
      <c r="E75" t="s">
        <v>202</v>
      </c>
      <c r="G75" t="s">
        <v>33</v>
      </c>
      <c r="AU75" s="144">
        <f>AU74-I24</f>
        <v>0</v>
      </c>
      <c r="BA75" s="44" t="str">
        <f t="shared" ca="1" si="6"/>
        <v>Finance</v>
      </c>
      <c r="BB75" s="1" t="str">
        <f>$A$68</f>
        <v>Regearing</v>
      </c>
      <c r="BC75" s="1" t="str">
        <f>$B$73</f>
        <v>Start of price control notional regearing</v>
      </c>
    </row>
    <row r="76" spans="1:58">
      <c r="E76" t="s">
        <v>330</v>
      </c>
      <c r="G76" t="str">
        <f>nominal</f>
        <v>£m nominal</v>
      </c>
      <c r="AU76" s="96">
        <f>AU70*AU75</f>
        <v>0</v>
      </c>
      <c r="BA76" s="44" t="str">
        <f t="shared" ca="1" si="6"/>
        <v>Finance</v>
      </c>
      <c r="BB76" s="1" t="str">
        <f>$A$68</f>
        <v>Regearing</v>
      </c>
      <c r="BC76" s="1" t="str">
        <f>$B$73</f>
        <v>Start of price control notional regearing</v>
      </c>
    </row>
    <row r="77" spans="1:58">
      <c r="E77" t="s">
        <v>521</v>
      </c>
      <c r="G77" t="str">
        <f>nominal</f>
        <v>£m nominal</v>
      </c>
      <c r="AU77" s="96">
        <f>MIN(AU76*AU37,0)*-1</f>
        <v>0</v>
      </c>
      <c r="BA77" s="44" t="str">
        <f t="shared" ca="1" si="6"/>
        <v>Finance</v>
      </c>
      <c r="BB77" s="1" t="str">
        <f>$A$68</f>
        <v>Regearing</v>
      </c>
      <c r="BC77" s="1" t="str">
        <f>$B$73</f>
        <v>Start of price control notional regearing</v>
      </c>
    </row>
    <row r="78" spans="1:58">
      <c r="AU78" s="171"/>
      <c r="BA78" s="44"/>
    </row>
    <row r="79" spans="1:58" ht="20" thickBot="1">
      <c r="A79" s="15" t="s">
        <v>203</v>
      </c>
      <c r="BA79" s="44"/>
    </row>
    <row r="80" spans="1:58" ht="18" thickTop="1" thickBot="1">
      <c r="B80" s="117" t="s">
        <v>197</v>
      </c>
      <c r="BA80"/>
      <c r="BB80"/>
      <c r="BC80"/>
      <c r="BD80"/>
      <c r="BF80"/>
    </row>
    <row r="81" spans="5:58" ht="15" thickTop="1">
      <c r="E81" t="s">
        <v>435</v>
      </c>
      <c r="G81" t="str">
        <f>nominal</f>
        <v>£m nominal</v>
      </c>
      <c r="AU81" s="96">
        <f>SUM(AU25,AU26)</f>
        <v>8413.5478228477223</v>
      </c>
      <c r="AV81" s="61">
        <f>SUM(AV25,AV26)</f>
        <v>8955.3593310563683</v>
      </c>
      <c r="AW81" s="61">
        <f>SUM(AW25,AW26)</f>
        <v>9520.4748777782315</v>
      </c>
      <c r="AX81" s="61">
        <f>SUM(AX25,AX26)</f>
        <v>9774.8135069132422</v>
      </c>
      <c r="AY81" s="61">
        <f>SUM(AY25,AY26)</f>
        <v>9941.0800967321302</v>
      </c>
      <c r="BA81" s="44" t="str">
        <f t="shared" ref="BA81:BA99" ca="1" si="17">$A$1</f>
        <v>Finance</v>
      </c>
      <c r="BB81" s="1" t="str">
        <f t="shared" ref="BB81:BB99" si="18">$A$79</f>
        <v>Financing costs</v>
      </c>
      <c r="BC81" s="1" t="str">
        <f>$B$80</f>
        <v>Equity issuance</v>
      </c>
      <c r="BD81"/>
      <c r="BF81"/>
    </row>
    <row r="82" spans="5:58" ht="14.5">
      <c r="E82" t="s">
        <v>436</v>
      </c>
      <c r="G82" t="str">
        <f>nominal</f>
        <v>£m nominal</v>
      </c>
      <c r="AU82" s="144">
        <f>AU39*AU29+(1-AU39)*AU28</f>
        <v>5.1745592635220022E-2</v>
      </c>
      <c r="AV82" s="62">
        <f>AV39*AV29+(1-AV39)*AV28</f>
        <v>5.2264112589702025E-2</v>
      </c>
      <c r="AW82" s="62">
        <f>AW39*AW29+(1-AW39)*AW28</f>
        <v>5.3036900855278589E-2</v>
      </c>
      <c r="AX82" s="62">
        <f>AX39*AX29+(1-AX39)*AX28</f>
        <v>5.4114384494662326E-2</v>
      </c>
      <c r="AY82" s="62">
        <f>AY39*AY29+(1-AY39)*AY28</f>
        <v>5.5518701761342389E-2</v>
      </c>
      <c r="BA82" s="44" t="str">
        <f t="shared" ca="1" si="17"/>
        <v>Finance</v>
      </c>
      <c r="BB82" s="1" t="str">
        <f t="shared" si="18"/>
        <v>Financing costs</v>
      </c>
      <c r="BC82" s="1" t="str">
        <f t="shared" ref="BC82:BC83" si="19">$B$80</f>
        <v>Equity issuance</v>
      </c>
      <c r="BD82"/>
      <c r="BF82"/>
    </row>
    <row r="83" spans="5:58" ht="14.5">
      <c r="E83" t="s">
        <v>813</v>
      </c>
      <c r="G83" t="str">
        <f>nominal</f>
        <v>£m nominal</v>
      </c>
      <c r="AU83" s="96">
        <f>SUM(AU30:AU35,AU9)*PCf</f>
        <v>1668.0177384124779</v>
      </c>
      <c r="AV83" s="61">
        <f>SUM(AV30:AV35,AV9)*PCf</f>
        <v>1746.5887850041247</v>
      </c>
      <c r="AW83" s="61">
        <f>SUM(AW30:AW35,AW9)*PCf</f>
        <v>1823.5073347165799</v>
      </c>
      <c r="AX83" s="61">
        <f>SUM(AX30:AX35,AX9)*PCf</f>
        <v>1843.6271234992435</v>
      </c>
      <c r="AY83" s="61">
        <f>SUM(AY30:AY35,AY9)*PCf</f>
        <v>1901.9157313903813</v>
      </c>
      <c r="BA83" s="44" t="str">
        <f t="shared" ca="1" si="17"/>
        <v>Finance</v>
      </c>
      <c r="BB83" s="1" t="str">
        <f t="shared" si="18"/>
        <v>Financing costs</v>
      </c>
      <c r="BC83" s="1" t="str">
        <f t="shared" si="19"/>
        <v>Equity issuance</v>
      </c>
      <c r="BD83"/>
      <c r="BF83"/>
    </row>
    <row r="84" spans="5:58" ht="14.5">
      <c r="BA84"/>
      <c r="BB84"/>
      <c r="BC84"/>
      <c r="BD84"/>
      <c r="BF84"/>
    </row>
    <row r="85" spans="5:58" ht="14.5">
      <c r="E85" t="s">
        <v>276</v>
      </c>
      <c r="G85" t="str">
        <f>nominal</f>
        <v>£m nominal</v>
      </c>
      <c r="AU85" s="96">
        <f>AU45</f>
        <v>-4875.1114359037556</v>
      </c>
      <c r="AV85" s="61">
        <f ca="1">AV45</f>
        <v>-5048.1286937086343</v>
      </c>
      <c r="AW85" s="61">
        <f ca="1">AW45</f>
        <v>-5373.2155986338203</v>
      </c>
      <c r="AX85" s="61">
        <f ca="1">AX45</f>
        <v>-5712.2849266669418</v>
      </c>
      <c r="AY85" s="61">
        <f ca="1">AY45</f>
        <v>-5864.8881041479463</v>
      </c>
      <c r="BA85" s="44" t="str">
        <f t="shared" ca="1" si="17"/>
        <v>Finance</v>
      </c>
      <c r="BB85" s="1" t="str">
        <f t="shared" si="18"/>
        <v>Financing costs</v>
      </c>
      <c r="BC85" s="1" t="str">
        <f t="shared" ref="BC85:BC87" si="20">$B$80</f>
        <v>Equity issuance</v>
      </c>
      <c r="BD85"/>
      <c r="BF85"/>
    </row>
    <row r="86" spans="5:58" ht="14.5">
      <c r="E86" t="s">
        <v>438</v>
      </c>
      <c r="G86" t="str">
        <f>nominal</f>
        <v>£m nominal</v>
      </c>
      <c r="AU86" s="96">
        <f>-AU81*AU7</f>
        <v>-5048.1286937086334</v>
      </c>
      <c r="AV86" s="61">
        <f>-AV81*AV7</f>
        <v>-5373.2155986338212</v>
      </c>
      <c r="AW86" s="61">
        <f>-AW81*AW7</f>
        <v>-5712.2849266669391</v>
      </c>
      <c r="AX86" s="61">
        <f>-AX81*AX7</f>
        <v>-5864.8881041479453</v>
      </c>
      <c r="AY86" s="61">
        <f>-AY81*AY7</f>
        <v>-5964.6480580392781</v>
      </c>
      <c r="BA86" s="44" t="str">
        <f t="shared" ca="1" si="17"/>
        <v>Finance</v>
      </c>
      <c r="BB86" s="1" t="str">
        <f t="shared" si="18"/>
        <v>Financing costs</v>
      </c>
      <c r="BC86" s="1" t="str">
        <f t="shared" si="20"/>
        <v>Equity issuance</v>
      </c>
      <c r="BD86"/>
      <c r="BF86"/>
    </row>
    <row r="87" spans="5:58" ht="14.5">
      <c r="E87" t="s">
        <v>439</v>
      </c>
      <c r="G87" t="str">
        <f>nominal</f>
        <v>£m nominal</v>
      </c>
      <c r="AU87" s="96">
        <f>AU86-AVERAGE(AU85:AU86)*AU82</f>
        <v>-4791.3867230244377</v>
      </c>
      <c r="AV87" s="61">
        <f t="shared" ref="AV87:AY87" ca="1" si="21">AV86-AVERAGE(AV85:AV86)*AV82</f>
        <v>-5100.8844429183036</v>
      </c>
      <c r="AW87" s="61">
        <f t="shared" ca="1" si="21"/>
        <v>-5418.3146305211812</v>
      </c>
      <c r="AX87" s="61">
        <f t="shared" ca="1" si="21"/>
        <v>-5551.6423077725694</v>
      </c>
      <c r="AY87" s="61">
        <f t="shared" ca="1" si="21"/>
        <v>-5636.2678129575343</v>
      </c>
      <c r="BA87" s="44" t="str">
        <f t="shared" ca="1" si="17"/>
        <v>Finance</v>
      </c>
      <c r="BB87" s="1" t="str">
        <f t="shared" si="18"/>
        <v>Financing costs</v>
      </c>
      <c r="BC87" s="1" t="str">
        <f t="shared" si="20"/>
        <v>Equity issuance</v>
      </c>
      <c r="BD87"/>
      <c r="BF87"/>
    </row>
    <row r="88" spans="5:58" ht="14.5">
      <c r="BA88"/>
      <c r="BB88"/>
      <c r="BC88"/>
      <c r="BD88"/>
      <c r="BF88"/>
    </row>
    <row r="89" spans="5:58" ht="14.5">
      <c r="E89" t="s">
        <v>440</v>
      </c>
      <c r="G89" t="str">
        <f>nominal</f>
        <v>£m nominal</v>
      </c>
      <c r="AU89" s="96">
        <f>SUM(AU85,AU83,AU48:AU55)</f>
        <v>-4800.3041572161774</v>
      </c>
      <c r="AV89" s="61">
        <f t="shared" ref="AV89:AY89" ca="1" si="22">SUM(AV85,AV83,AV48:AV55)</f>
        <v>-5152.9020656702041</v>
      </c>
      <c r="AW89" s="61">
        <f t="shared" ca="1" si="22"/>
        <v>-5468.7553193804542</v>
      </c>
      <c r="AX89" s="61">
        <f t="shared" ca="1" si="22"/>
        <v>-5464.1202996337906</v>
      </c>
      <c r="AY89" s="61">
        <f t="shared" ca="1" si="22"/>
        <v>-5507.9364857005312</v>
      </c>
      <c r="BA89" s="44" t="str">
        <f t="shared" ca="1" si="17"/>
        <v>Finance</v>
      </c>
      <c r="BB89" s="1" t="str">
        <f t="shared" si="18"/>
        <v>Financing costs</v>
      </c>
      <c r="BC89" s="1" t="str">
        <f t="shared" ref="BC89:BC93" si="23">$B$80</f>
        <v>Equity issuance</v>
      </c>
      <c r="BD89"/>
      <c r="BF89"/>
    </row>
    <row r="90" spans="5:58" ht="14.5">
      <c r="E90" t="s">
        <v>441</v>
      </c>
      <c r="G90" t="str">
        <f>nominal</f>
        <v>£m nominal</v>
      </c>
      <c r="AU90" s="96">
        <f>AU86-(((AU86-AU87)/(2+AU82))*2)</f>
        <v>-4797.8618266996091</v>
      </c>
      <c r="AV90" s="61">
        <f t="shared" ref="AV90:AY90" ca="1" si="24">AV86-(((AV86-AV87)/(2+AV82))*2)</f>
        <v>-5107.8197813558299</v>
      </c>
      <c r="AW90" s="61">
        <f t="shared" ca="1" si="24"/>
        <v>-5425.9088795308235</v>
      </c>
      <c r="AX90" s="61">
        <f t="shared" ca="1" si="24"/>
        <v>-5559.894576290013</v>
      </c>
      <c r="AY90" s="61">
        <f t="shared" ca="1" si="24"/>
        <v>-5645.1372262474197</v>
      </c>
      <c r="BA90" s="44" t="str">
        <f t="shared" ca="1" si="17"/>
        <v>Finance</v>
      </c>
      <c r="BB90" s="1" t="str">
        <f t="shared" si="18"/>
        <v>Financing costs</v>
      </c>
      <c r="BC90" s="1" t="str">
        <f t="shared" si="23"/>
        <v>Equity issuance</v>
      </c>
      <c r="BD90"/>
      <c r="BF90"/>
    </row>
    <row r="91" spans="5:58" ht="14.5">
      <c r="E91" t="s">
        <v>442</v>
      </c>
      <c r="G91" t="str">
        <f>nominal</f>
        <v>£m nominal</v>
      </c>
      <c r="AU91" s="96">
        <f>AVERAGE(AU85,AU90)*AU82</f>
        <v>-250.26686700902445</v>
      </c>
      <c r="AV91" s="61">
        <f t="shared" ref="AV91:AY91" ca="1" si="25">AVERAGE(AV85,AV90)*AV82</f>
        <v>-265.39581727799089</v>
      </c>
      <c r="AW91" s="61">
        <f t="shared" ca="1" si="25"/>
        <v>-286.37604713611518</v>
      </c>
      <c r="AX91" s="61">
        <f t="shared" ca="1" si="25"/>
        <v>-304.99352785793218</v>
      </c>
      <c r="AY91" s="61">
        <f t="shared" ca="1" si="25"/>
        <v>-319.51083179185832</v>
      </c>
      <c r="BA91" s="44" t="str">
        <f t="shared" ca="1" si="17"/>
        <v>Finance</v>
      </c>
      <c r="BB91" s="1" t="str">
        <f t="shared" si="18"/>
        <v>Financing costs</v>
      </c>
      <c r="BC91" s="1" t="str">
        <f t="shared" si="23"/>
        <v>Equity issuance</v>
      </c>
      <c r="BD91"/>
      <c r="BF91"/>
    </row>
    <row r="92" spans="5:58" ht="14.5">
      <c r="E92" t="s">
        <v>443</v>
      </c>
      <c r="G92" t="str">
        <f>nominal</f>
        <v>£m nominal</v>
      </c>
      <c r="AU92" s="96">
        <f>SUM(AU89,AU91)</f>
        <v>-5050.5710242252017</v>
      </c>
      <c r="AV92" s="61">
        <f t="shared" ref="AV92:AY92" ca="1" si="26">SUM(AV89,AV91)</f>
        <v>-5418.2978829481954</v>
      </c>
      <c r="AW92" s="61">
        <f t="shared" ca="1" si="26"/>
        <v>-5755.131366516569</v>
      </c>
      <c r="AX92" s="61">
        <f t="shared" ca="1" si="26"/>
        <v>-5769.113827491723</v>
      </c>
      <c r="AY92" s="61">
        <f t="shared" ca="1" si="26"/>
        <v>-5827.4473174923896</v>
      </c>
      <c r="BA92" s="44" t="str">
        <f t="shared" ca="1" si="17"/>
        <v>Finance</v>
      </c>
      <c r="BB92" s="1" t="str">
        <f t="shared" si="18"/>
        <v>Financing costs</v>
      </c>
      <c r="BC92" s="1" t="str">
        <f t="shared" si="23"/>
        <v>Equity issuance</v>
      </c>
      <c r="BD92"/>
      <c r="BF92"/>
    </row>
    <row r="93" spans="5:58" ht="14.5">
      <c r="E93" t="s">
        <v>444</v>
      </c>
      <c r="G93" t="s">
        <v>33</v>
      </c>
      <c r="AU93" s="144">
        <f>-AU92/AU81</f>
        <v>0.60029028545008511</v>
      </c>
      <c r="AV93" s="62">
        <f t="shared" ref="AV93:AY93" ca="1" si="27">-AV92/AV81</f>
        <v>0.60503411227264026</v>
      </c>
      <c r="AW93" s="62">
        <f t="shared" ca="1" si="27"/>
        <v>0.60450045196271018</v>
      </c>
      <c r="AX93" s="62">
        <f t="shared" ca="1" si="27"/>
        <v>0.59020193310199875</v>
      </c>
      <c r="AY93" s="62">
        <f t="shared" ca="1" si="27"/>
        <v>0.58619860827879355</v>
      </c>
      <c r="BA93" s="44" t="str">
        <f t="shared" ca="1" si="17"/>
        <v>Finance</v>
      </c>
      <c r="BB93" s="1" t="str">
        <f t="shared" si="18"/>
        <v>Financing costs</v>
      </c>
      <c r="BC93" s="1" t="str">
        <f t="shared" si="23"/>
        <v>Equity issuance</v>
      </c>
      <c r="BD93"/>
      <c r="BF93"/>
    </row>
    <row r="94" spans="5:58" ht="14.5">
      <c r="BA94"/>
      <c r="BB94"/>
      <c r="BC94"/>
      <c r="BD94"/>
      <c r="BF94"/>
    </row>
    <row r="95" spans="5:58" ht="14.5">
      <c r="E95" t="s">
        <v>445</v>
      </c>
      <c r="G95" t="s">
        <v>783</v>
      </c>
      <c r="AU95" s="96" t="b">
        <f>AU93-AU7&gt;AU36</f>
        <v>1</v>
      </c>
      <c r="AV95" s="61" t="b">
        <f ca="1">AV93-AV7&gt;AV36</f>
        <v>1</v>
      </c>
      <c r="AW95" s="61" t="b">
        <f ca="1">AW93-AW7&gt;AW36</f>
        <v>1</v>
      </c>
      <c r="AX95" s="61" t="b">
        <f ca="1">AX93-AX7&gt;AX36</f>
        <v>0</v>
      </c>
      <c r="AY95" s="61" t="b">
        <f ca="1">AY93-AY7&gt;AY36</f>
        <v>0</v>
      </c>
      <c r="BA95" s="44" t="str">
        <f t="shared" ca="1" si="17"/>
        <v>Finance</v>
      </c>
      <c r="BB95" s="1" t="str">
        <f t="shared" si="18"/>
        <v>Financing costs</v>
      </c>
      <c r="BC95" s="1" t="str">
        <f t="shared" ref="BC95:BC97" si="28">$B$80</f>
        <v>Equity issuance</v>
      </c>
      <c r="BD95"/>
      <c r="BF95"/>
    </row>
    <row r="96" spans="5:58" ht="14.5">
      <c r="E96" t="s">
        <v>197</v>
      </c>
      <c r="G96" t="str">
        <f>nominal</f>
        <v>£m nominal</v>
      </c>
      <c r="AU96" s="96">
        <f>MAX(AU86-AU92,0)*AU95</f>
        <v>2.4423305165682905</v>
      </c>
      <c r="AV96" s="61">
        <f t="shared" ref="AV96:AY96" ca="1" si="29">MAX(AV86-AV92,0)*AV95</f>
        <v>45.082284314374192</v>
      </c>
      <c r="AW96" s="61">
        <f t="shared" ca="1" si="29"/>
        <v>42.84643984962986</v>
      </c>
      <c r="AX96" s="61">
        <f t="shared" ca="1" si="29"/>
        <v>0</v>
      </c>
      <c r="AY96" s="61">
        <f t="shared" ca="1" si="29"/>
        <v>0</v>
      </c>
      <c r="BA96" s="44" t="str">
        <f t="shared" ca="1" si="17"/>
        <v>Finance</v>
      </c>
      <c r="BB96" s="1" t="str">
        <f t="shared" si="18"/>
        <v>Financing costs</v>
      </c>
      <c r="BC96" s="1" t="str">
        <f t="shared" si="28"/>
        <v>Equity issuance</v>
      </c>
      <c r="BD96"/>
      <c r="BF96"/>
    </row>
    <row r="97" spans="2:58" ht="14.5">
      <c r="E97" t="s">
        <v>446</v>
      </c>
      <c r="G97" t="s">
        <v>33</v>
      </c>
      <c r="AU97" s="144">
        <f ca="1">-AU66/AU81</f>
        <v>0.60000000000000009</v>
      </c>
      <c r="AV97" s="62">
        <f ca="1">-AV66/AV81</f>
        <v>0.59999999999999987</v>
      </c>
      <c r="AW97" s="62">
        <f ca="1">-AW66/AW81</f>
        <v>0.60000000000000031</v>
      </c>
      <c r="AX97" s="62">
        <f ca="1">-AX66/AX81</f>
        <v>0.60000000000000009</v>
      </c>
      <c r="AY97" s="62">
        <f ca="1">-AY66/AY81</f>
        <v>0.6</v>
      </c>
      <c r="BA97" s="44" t="str">
        <f t="shared" ca="1" si="17"/>
        <v>Finance</v>
      </c>
      <c r="BB97" s="1" t="str">
        <f t="shared" si="18"/>
        <v>Financing costs</v>
      </c>
      <c r="BC97" s="1" t="str">
        <f t="shared" si="28"/>
        <v>Equity issuance</v>
      </c>
      <c r="BD97"/>
      <c r="BF97"/>
    </row>
    <row r="98" spans="2:58" ht="14.5">
      <c r="BA98"/>
      <c r="BB98"/>
      <c r="BC98"/>
      <c r="BD98"/>
      <c r="BF98"/>
    </row>
    <row r="99" spans="2:58">
      <c r="E99" t="s">
        <v>97</v>
      </c>
      <c r="G99" t="str">
        <f>nominal</f>
        <v>£m nominal</v>
      </c>
      <c r="AU99" s="96">
        <f>AU96*AU37</f>
        <v>0.12211652582841453</v>
      </c>
      <c r="AV99" s="61">
        <f ca="1">AV96*AV37</f>
        <v>2.2541142157187095</v>
      </c>
      <c r="AW99" s="61">
        <f ca="1">AW96*AW37</f>
        <v>2.1423219924814929</v>
      </c>
      <c r="AX99" s="61">
        <f ca="1">AX96*AX37</f>
        <v>0</v>
      </c>
      <c r="AY99" s="61">
        <f ca="1">AY96*AY37</f>
        <v>0</v>
      </c>
      <c r="BA99" s="44" t="str">
        <f t="shared" ca="1" si="17"/>
        <v>Finance</v>
      </c>
      <c r="BB99" s="1" t="str">
        <f t="shared" si="18"/>
        <v>Financing costs</v>
      </c>
      <c r="BC99" s="1" t="str">
        <f>$B$80</f>
        <v>Equity issuance</v>
      </c>
    </row>
    <row r="100" spans="2:58" ht="14.5">
      <c r="BA100"/>
      <c r="BB100"/>
      <c r="BC100"/>
      <c r="BD100"/>
      <c r="BF100"/>
    </row>
    <row r="101" spans="2:58" ht="17.5" thickBot="1">
      <c r="B101" s="17" t="s">
        <v>204</v>
      </c>
      <c r="BA101" s="44"/>
    </row>
    <row r="102" spans="2:58" ht="16.5" thickTop="1">
      <c r="E102" t="s">
        <v>205</v>
      </c>
      <c r="G102" t="str">
        <f t="shared" ref="G102" si="30">nominal</f>
        <v>£m nominal</v>
      </c>
      <c r="AU102" s="96">
        <f>SUM(AU$25,AU$26)*(1-AU$7)*AU38</f>
        <v>100.96257387417266</v>
      </c>
      <c r="AV102" s="61">
        <f>SUM(AV$25,AV$26)*(1-AV$7)*AV38</f>
        <v>107.46431197267643</v>
      </c>
      <c r="AW102" s="61">
        <f>SUM(AW$25,AW$26)*(1-AW$7)*AW38</f>
        <v>114.24569853333878</v>
      </c>
      <c r="AX102" s="61">
        <f>SUM(AX$25,AX$26)*(1-AX$7)*AX38</f>
        <v>117.2977620829589</v>
      </c>
      <c r="AY102" s="61">
        <f>SUM(AY$25,AY$26)*(1-AY$7)*AY38</f>
        <v>119.29296116078555</v>
      </c>
      <c r="BA102" s="44" t="str">
        <f t="shared" ref="BA102:BA126" ca="1" si="31">$A$1</f>
        <v>Finance</v>
      </c>
      <c r="BB102" s="1" t="str">
        <f>$A$79</f>
        <v>Financing costs</v>
      </c>
      <c r="BC102" s="1" t="str">
        <f>$B$101</f>
        <v>Dividends</v>
      </c>
    </row>
    <row r="103" spans="2:58">
      <c r="BA103" s="44"/>
    </row>
    <row r="104" spans="2:58" ht="14.5">
      <c r="E104" t="s">
        <v>447</v>
      </c>
      <c r="G104" t="s">
        <v>783</v>
      </c>
      <c r="AU104" s="96" t="b">
        <f>AU7-AU93&gt;AU36</f>
        <v>0</v>
      </c>
      <c r="AV104" s="61" t="b">
        <f ca="1">AV7-AV93&gt;AV36</f>
        <v>0</v>
      </c>
      <c r="AW104" s="61" t="b">
        <f ca="1">AW7-AW93&gt;AW36</f>
        <v>0</v>
      </c>
      <c r="AX104" s="61" t="b">
        <f ca="1">AX7-AX93&gt;AX36</f>
        <v>1</v>
      </c>
      <c r="AY104" s="61" t="b">
        <f ca="1">AY7-AY93&gt;AY36</f>
        <v>1</v>
      </c>
      <c r="BA104" s="44" t="str">
        <f t="shared" ca="1" si="31"/>
        <v>Finance</v>
      </c>
      <c r="BB104" s="1" t="str">
        <f>$A$79</f>
        <v>Financing costs</v>
      </c>
      <c r="BC104" s="1" t="str">
        <f>$B$101</f>
        <v>Dividends</v>
      </c>
      <c r="BD104"/>
      <c r="BF104"/>
    </row>
    <row r="105" spans="2:58" ht="14.5">
      <c r="E105" t="s">
        <v>448</v>
      </c>
      <c r="G105" t="str">
        <f t="shared" ref="G105" si="32">nominal</f>
        <v>£m nominal</v>
      </c>
      <c r="AU105" s="96">
        <f>-MAX(AU92-AU86,0)*AU104</f>
        <v>0</v>
      </c>
      <c r="AV105" s="61">
        <f ca="1">-MAX(AV92-AV86,0)*AV104</f>
        <v>0</v>
      </c>
      <c r="AW105" s="61">
        <f ca="1">-MAX(AW92-AW86,0)*AW104</f>
        <v>0</v>
      </c>
      <c r="AX105" s="61">
        <f ca="1">-MAX(AX92-AX86,0)*AX104</f>
        <v>-95.774276656222355</v>
      </c>
      <c r="AY105" s="61">
        <f ca="1">-MAX(AY92-AY86,0)*AY104</f>
        <v>-137.20074054688848</v>
      </c>
      <c r="BA105" s="44" t="str">
        <f t="shared" ca="1" si="31"/>
        <v>Finance</v>
      </c>
      <c r="BB105" s="1" t="str">
        <f>$A$79</f>
        <v>Financing costs</v>
      </c>
      <c r="BC105" s="1" t="str">
        <f>$B$101</f>
        <v>Dividends</v>
      </c>
      <c r="BD105"/>
      <c r="BF105"/>
    </row>
    <row r="106" spans="2:58" ht="14.5">
      <c r="BA106"/>
      <c r="BB106"/>
      <c r="BC106"/>
      <c r="BD106"/>
      <c r="BF106"/>
    </row>
    <row r="107" spans="2:58" ht="17.5" thickBot="1">
      <c r="B107" s="17" t="s">
        <v>321</v>
      </c>
      <c r="BA107" s="44"/>
    </row>
    <row r="108" spans="2:58" ht="16.5" thickTop="1">
      <c r="E108" t="s">
        <v>308</v>
      </c>
      <c r="G108" t="str">
        <f>nominal</f>
        <v>£m nominal</v>
      </c>
      <c r="AU108" s="96">
        <f>AVERAGE(AU45,AU59)</f>
        <v>-4836.4866313016828</v>
      </c>
      <c r="AV108" s="61">
        <f ca="1">AVERAGE(AV45,AV59)</f>
        <v>-5077.9742375322321</v>
      </c>
      <c r="AW108" s="61">
        <f ca="1">AVERAGE(AW45,AW59)</f>
        <v>-5399.5622390823228</v>
      </c>
      <c r="AX108" s="61">
        <f ca="1">AVERAGE(AX45,AX59)</f>
        <v>-5636.0897514784774</v>
      </c>
      <c r="AY108" s="61">
        <f ca="1">AVERAGE(AY45,AY59)</f>
        <v>-5755.0126651976825</v>
      </c>
      <c r="BA108" s="44" t="str">
        <f t="shared" ca="1" si="31"/>
        <v>Finance</v>
      </c>
      <c r="BB108" s="1" t="str">
        <f>$A$79</f>
        <v>Financing costs</v>
      </c>
      <c r="BC108" s="1" t="str">
        <f>$B$107</f>
        <v>Net interest expense</v>
      </c>
    </row>
    <row r="109" spans="2:58">
      <c r="BA109" s="44"/>
    </row>
    <row r="110" spans="2:58">
      <c r="E110" t="s">
        <v>206</v>
      </c>
      <c r="G110" t="str">
        <f t="shared" ref="G110:G114" si="33">nominal</f>
        <v>£m nominal</v>
      </c>
      <c r="AU110" s="96">
        <f>AU108*(1-AU39)</f>
        <v>-3385.5406419111778</v>
      </c>
      <c r="AV110" s="61">
        <f ca="1">AV108*(1-AV39)</f>
        <v>-3554.5819662725621</v>
      </c>
      <c r="AW110" s="61">
        <f ca="1">AW108*(1-AW39)</f>
        <v>-3779.6935673576259</v>
      </c>
      <c r="AX110" s="61">
        <f ca="1">AX108*(1-AX39)</f>
        <v>-3945.2628260349338</v>
      </c>
      <c r="AY110" s="61">
        <f ca="1">AY108*(1-AY39)</f>
        <v>-4028.5088656383773</v>
      </c>
      <c r="BA110" s="44" t="str">
        <f t="shared" ca="1" si="31"/>
        <v>Finance</v>
      </c>
      <c r="BB110" s="1" t="str">
        <f t="shared" ref="BB110:BB114" si="34">$A$79</f>
        <v>Financing costs</v>
      </c>
      <c r="BC110" s="1" t="str">
        <f t="shared" ref="BC110:BC114" si="35">$B$107</f>
        <v>Net interest expense</v>
      </c>
    </row>
    <row r="111" spans="2:58">
      <c r="E111" t="s">
        <v>324</v>
      </c>
      <c r="G111" t="str">
        <f t="shared" si="33"/>
        <v>£m nominal</v>
      </c>
      <c r="AU111" s="96">
        <f>AU110*AU28</f>
        <v>-173.76700380567502</v>
      </c>
      <c r="AV111" s="61">
        <f ca="1">AV110*AV28</f>
        <v>-185.71052111487745</v>
      </c>
      <c r="AW111" s="61">
        <f ca="1">AW110*AW28</f>
        <v>-200.55972533936429</v>
      </c>
      <c r="AX111" s="61">
        <f ca="1">AX110*AX28</f>
        <v>-213.77745915473341</v>
      </c>
      <c r="AY111" s="61">
        <f ca="1">AY110*AY28</f>
        <v>-223.63682833805987</v>
      </c>
      <c r="BA111" s="44" t="str">
        <f t="shared" ca="1" si="31"/>
        <v>Finance</v>
      </c>
      <c r="BB111" s="1" t="str">
        <f t="shared" si="34"/>
        <v>Financing costs</v>
      </c>
      <c r="BC111" s="1" t="str">
        <f t="shared" si="35"/>
        <v>Net interest expense</v>
      </c>
    </row>
    <row r="112" spans="2:58">
      <c r="E112" t="s">
        <v>207</v>
      </c>
      <c r="G112" t="str">
        <f t="shared" si="33"/>
        <v>£m nominal</v>
      </c>
      <c r="AU112" s="96">
        <f>AU108*AU39</f>
        <v>-1450.9459893905048</v>
      </c>
      <c r="AV112" s="61">
        <f ca="1">AV108*AV39</f>
        <v>-1523.3922712596695</v>
      </c>
      <c r="AW112" s="61">
        <f ca="1">AW108*AW39</f>
        <v>-1619.8686717246967</v>
      </c>
      <c r="AX112" s="61">
        <f ca="1">AX108*AX39</f>
        <v>-1690.8269254435431</v>
      </c>
      <c r="AY112" s="61">
        <f ca="1">AY108*AY39</f>
        <v>-1726.5037995593048</v>
      </c>
      <c r="BA112" s="44" t="str">
        <f t="shared" ca="1" si="31"/>
        <v>Finance</v>
      </c>
      <c r="BB112" s="1" t="str">
        <f t="shared" si="34"/>
        <v>Financing costs</v>
      </c>
      <c r="BC112" s="1" t="str">
        <f t="shared" si="35"/>
        <v>Net interest expense</v>
      </c>
    </row>
    <row r="113" spans="1:56">
      <c r="E113" t="s">
        <v>325</v>
      </c>
      <c r="G113" t="str">
        <f t="shared" si="33"/>
        <v>£m nominal</v>
      </c>
      <c r="AU113" s="96">
        <f>AU112*AU29</f>
        <v>-76.499863203349463</v>
      </c>
      <c r="AV113" s="61">
        <f ca="1">AV112*AV29</f>
        <v>-79.685296163113406</v>
      </c>
      <c r="AW113" s="61">
        <f ca="1">AW112*AW29</f>
        <v>-85.816321796750927</v>
      </c>
      <c r="AX113" s="61">
        <f ca="1">AX112*AX29</f>
        <v>-91.216068703198744</v>
      </c>
      <c r="AY113" s="61">
        <f ca="1">AY112*AY29</f>
        <v>-95.874003453798451</v>
      </c>
      <c r="BA113" s="44" t="str">
        <f t="shared" ca="1" si="31"/>
        <v>Finance</v>
      </c>
      <c r="BB113" s="1" t="str">
        <f t="shared" si="34"/>
        <v>Financing costs</v>
      </c>
      <c r="BC113" s="1" t="str">
        <f t="shared" si="35"/>
        <v>Net interest expense</v>
      </c>
    </row>
    <row r="114" spans="1:56">
      <c r="E114" t="s">
        <v>208</v>
      </c>
      <c r="G114" t="str">
        <f t="shared" si="33"/>
        <v>£m nominal</v>
      </c>
      <c r="AU114" s="96">
        <f>AU112*AU40</f>
        <v>-32.875511089244711</v>
      </c>
      <c r="AV114" s="61">
        <f ca="1">AV112*AV40</f>
        <v>-32.540532217747753</v>
      </c>
      <c r="AW114" s="61">
        <f ca="1">AW112*AW40</f>
        <v>-34.369514214055791</v>
      </c>
      <c r="AX114" s="61">
        <f ca="1">AX112*AX40</f>
        <v>-35.624338019682952</v>
      </c>
      <c r="AY114" s="61">
        <f ca="1">AY112*AY40</f>
        <v>-36.803218353712325</v>
      </c>
      <c r="BA114" s="44" t="str">
        <f t="shared" ca="1" si="31"/>
        <v>Finance</v>
      </c>
      <c r="BB114" s="1" t="str">
        <f t="shared" si="34"/>
        <v>Financing costs</v>
      </c>
      <c r="BC114" s="1" t="str">
        <f t="shared" si="35"/>
        <v>Net interest expense</v>
      </c>
    </row>
    <row r="115" spans="1:56">
      <c r="BA115" s="44"/>
    </row>
    <row r="116" spans="1:56">
      <c r="E116" t="s">
        <v>321</v>
      </c>
      <c r="G116" t="str">
        <f t="shared" ref="G116:G118" si="36">nominal</f>
        <v>£m nominal</v>
      </c>
      <c r="AU116" s="96">
        <f>SUM(AU111,AU113)</f>
        <v>-250.26686700902448</v>
      </c>
      <c r="AV116" s="61">
        <f t="shared" ref="AV116:AY116" ca="1" si="37">SUM(AV111,AV113)</f>
        <v>-265.39581727799089</v>
      </c>
      <c r="AW116" s="61">
        <f t="shared" ca="1" si="37"/>
        <v>-286.37604713611523</v>
      </c>
      <c r="AX116" s="61">
        <f t="shared" ca="1" si="37"/>
        <v>-304.99352785793212</v>
      </c>
      <c r="AY116" s="61">
        <f t="shared" ca="1" si="37"/>
        <v>-319.51083179185832</v>
      </c>
      <c r="BA116" s="44" t="str">
        <f t="shared" ca="1" si="31"/>
        <v>Finance</v>
      </c>
      <c r="BB116" s="1" t="str">
        <f t="shared" ref="BB116:BB118" si="38">$A$79</f>
        <v>Financing costs</v>
      </c>
      <c r="BC116" s="1" t="str">
        <f t="shared" ref="BC116:BC118" si="39">$B$107</f>
        <v>Net interest expense</v>
      </c>
    </row>
    <row r="117" spans="1:56">
      <c r="E117" t="s">
        <v>320</v>
      </c>
      <c r="G117" t="str">
        <f t="shared" si="36"/>
        <v>£m nominal</v>
      </c>
      <c r="AU117" s="96">
        <f>AU116-AU114</f>
        <v>-217.39135591977976</v>
      </c>
      <c r="AV117" s="61">
        <f t="shared" ref="AV117:AY117" ca="1" si="40">AV116-AV114</f>
        <v>-232.85528506024315</v>
      </c>
      <c r="AW117" s="61">
        <f t="shared" ca="1" si="40"/>
        <v>-252.00653292205945</v>
      </c>
      <c r="AX117" s="61">
        <f t="shared" ca="1" si="40"/>
        <v>-269.36918983824916</v>
      </c>
      <c r="AY117" s="61">
        <f t="shared" ca="1" si="40"/>
        <v>-282.70761343814598</v>
      </c>
      <c r="BA117" s="44" t="str">
        <f t="shared" ca="1" si="31"/>
        <v>Finance</v>
      </c>
      <c r="BB117" s="1" t="str">
        <f t="shared" si="38"/>
        <v>Financing costs</v>
      </c>
      <c r="BC117" s="1" t="str">
        <f t="shared" si="39"/>
        <v>Net interest expense</v>
      </c>
    </row>
    <row r="118" spans="1:56">
      <c r="E118" t="s">
        <v>326</v>
      </c>
      <c r="G118" t="str">
        <f t="shared" si="36"/>
        <v>£m nominal</v>
      </c>
      <c r="AU118" s="97">
        <f>AU114</f>
        <v>-32.875511089244711</v>
      </c>
      <c r="AV118" s="38">
        <f t="shared" ref="AV118:AY118" ca="1" si="41">AV114</f>
        <v>-32.540532217747753</v>
      </c>
      <c r="AW118" s="38">
        <f t="shared" ca="1" si="41"/>
        <v>-34.369514214055791</v>
      </c>
      <c r="AX118" s="38">
        <f t="shared" ca="1" si="41"/>
        <v>-35.624338019682952</v>
      </c>
      <c r="AY118" s="38">
        <f t="shared" ca="1" si="41"/>
        <v>-36.803218353712325</v>
      </c>
      <c r="BA118" s="44" t="str">
        <f t="shared" ca="1" si="31"/>
        <v>Finance</v>
      </c>
      <c r="BB118" s="1" t="str">
        <f t="shared" si="38"/>
        <v>Financing costs</v>
      </c>
      <c r="BC118" s="1" t="str">
        <f t="shared" si="39"/>
        <v>Net interest expense</v>
      </c>
    </row>
    <row r="119" spans="1:56"/>
    <row r="120" spans="1:56" ht="16.5" thickBot="1">
      <c r="C120" s="14" t="s">
        <v>299</v>
      </c>
      <c r="BA120" s="44"/>
    </row>
    <row r="121" spans="1:56">
      <c r="E121" t="s">
        <v>300</v>
      </c>
      <c r="G121" t="s">
        <v>33</v>
      </c>
      <c r="AU121" s="144">
        <f>(AU23*(AU45/AU70)/AU45)</f>
        <v>2.1175411821837409E-2</v>
      </c>
      <c r="AV121" s="62">
        <f ca="1">(AV23*(AV45/AV70)/AV45)</f>
        <v>2.1989853152935331E-2</v>
      </c>
      <c r="AW121" s="62">
        <f ca="1">(AW23*(AW45/AW70)/AW45)</f>
        <v>2.2714739024893037E-2</v>
      </c>
      <c r="AX121" s="62">
        <f ca="1">(AX23*(AX45/AX70)/AX45)</f>
        <v>2.2961393620374061E-2</v>
      </c>
      <c r="AY121" s="62">
        <f ca="1">(AY23*(AY45/AY70)/AY45)</f>
        <v>2.3035305922020851E-2</v>
      </c>
      <c r="BA121" s="44" t="str">
        <f t="shared" ca="1" si="31"/>
        <v>Finance</v>
      </c>
      <c r="BB121" s="1" t="str">
        <f>$A$79</f>
        <v>Financing costs</v>
      </c>
      <c r="BC121" s="1" t="str">
        <f t="shared" ref="BC121:BC126" si="42">$B$107</f>
        <v>Net interest expense</v>
      </c>
      <c r="BD121" s="1" t="str">
        <f>$C$120</f>
        <v>Allocation of interest to SO</v>
      </c>
    </row>
    <row r="122" spans="1:56">
      <c r="E122" t="s">
        <v>323</v>
      </c>
      <c r="G122" t="str">
        <f t="shared" ref="G122:G126" si="43">nominal</f>
        <v>£m nominal</v>
      </c>
      <c r="AU122" s="96">
        <f>AU117*AU$121</f>
        <v>-4.6033514881089683</v>
      </c>
      <c r="AV122" s="61">
        <f ca="1">AV117*AV$121</f>
        <v>-5.1204535243596432</v>
      </c>
      <c r="AW122" s="61">
        <f ca="1">AW117*AW$121</f>
        <v>-5.7242626278926956</v>
      </c>
      <c r="AX122" s="61">
        <f ca="1">AX117*AX$121</f>
        <v>-6.1850919970773033</v>
      </c>
      <c r="AY122" s="61">
        <f ca="1">AY117*AY$121</f>
        <v>-6.5122563620321055</v>
      </c>
      <c r="BA122" s="44" t="str">
        <f t="shared" ca="1" si="31"/>
        <v>Finance</v>
      </c>
      <c r="BB122" s="1" t="str">
        <f>$A$79</f>
        <v>Financing costs</v>
      </c>
      <c r="BC122" s="1" t="str">
        <f t="shared" si="42"/>
        <v>Net interest expense</v>
      </c>
      <c r="BD122" s="1" t="str">
        <f>$C$120</f>
        <v>Allocation of interest to SO</v>
      </c>
    </row>
    <row r="123" spans="1:56">
      <c r="E123" t="s">
        <v>322</v>
      </c>
      <c r="G123" t="str">
        <f t="shared" si="43"/>
        <v>£m nominal</v>
      </c>
      <c r="AU123" s="96">
        <f>AU118*AU$121</f>
        <v>-0.6961524861681393</v>
      </c>
      <c r="AV123" s="61">
        <f t="shared" ref="AV123:AY123" ca="1" si="44">AV118*AV$121</f>
        <v>-0.71556152498663417</v>
      </c>
      <c r="AW123" s="61">
        <f t="shared" ca="1" si="44"/>
        <v>-0.78069454578462905</v>
      </c>
      <c r="AX123" s="61">
        <f t="shared" ca="1" si="44"/>
        <v>-0.8179844477351973</v>
      </c>
      <c r="AY123" s="61">
        <f t="shared" ca="1" si="44"/>
        <v>-0.847773393692696</v>
      </c>
      <c r="BA123" s="44" t="str">
        <f t="shared" ca="1" si="31"/>
        <v>Finance</v>
      </c>
      <c r="BB123" s="1" t="str">
        <f>$A$79</f>
        <v>Financing costs</v>
      </c>
      <c r="BC123" s="1" t="str">
        <f t="shared" si="42"/>
        <v>Net interest expense</v>
      </c>
      <c r="BD123" s="1" t="str">
        <f>$C$120</f>
        <v>Allocation of interest to SO</v>
      </c>
    </row>
    <row r="124" spans="1:56">
      <c r="BA124" s="44"/>
    </row>
    <row r="125" spans="1:56">
      <c r="E125" t="s">
        <v>781</v>
      </c>
      <c r="G125" t="str">
        <f t="shared" si="43"/>
        <v>£m nominal</v>
      </c>
      <c r="AU125" s="96">
        <f>AU117-AU122</f>
        <v>-212.7880044316708</v>
      </c>
      <c r="AV125" s="61">
        <f t="shared" ref="AV125:AY125" ca="1" si="45">AV117-AV122</f>
        <v>-227.7348315358835</v>
      </c>
      <c r="AW125" s="61">
        <f t="shared" ca="1" si="45"/>
        <v>-246.28227029416675</v>
      </c>
      <c r="AX125" s="61">
        <f t="shared" ca="1" si="45"/>
        <v>-263.18409784117188</v>
      </c>
      <c r="AY125" s="61">
        <f t="shared" ca="1" si="45"/>
        <v>-276.19535707611385</v>
      </c>
      <c r="BA125" s="44" t="str">
        <f t="shared" ca="1" si="31"/>
        <v>Finance</v>
      </c>
      <c r="BB125" s="1" t="str">
        <f>$A$79</f>
        <v>Financing costs</v>
      </c>
      <c r="BC125" s="1" t="str">
        <f t="shared" si="42"/>
        <v>Net interest expense</v>
      </c>
      <c r="BD125" s="1" t="str">
        <f>$C$120</f>
        <v>Allocation of interest to SO</v>
      </c>
    </row>
    <row r="126" spans="1:56">
      <c r="E126" t="s">
        <v>782</v>
      </c>
      <c r="G126" t="str">
        <f t="shared" si="43"/>
        <v>£m nominal</v>
      </c>
      <c r="AU126" s="96">
        <f>AU118-AU123</f>
        <v>-32.179358603076572</v>
      </c>
      <c r="AV126" s="61">
        <f t="shared" ref="AV126:AY126" ca="1" si="46">AV118-AV123</f>
        <v>-31.82497069276112</v>
      </c>
      <c r="AW126" s="61">
        <f t="shared" ca="1" si="46"/>
        <v>-33.588819668271164</v>
      </c>
      <c r="AX126" s="61">
        <f t="shared" ca="1" si="46"/>
        <v>-34.806353571947753</v>
      </c>
      <c r="AY126" s="61">
        <f t="shared" ca="1" si="46"/>
        <v>-35.955444960019626</v>
      </c>
      <c r="BA126" s="44" t="str">
        <f t="shared" ca="1" si="31"/>
        <v>Finance</v>
      </c>
      <c r="BB126" s="1" t="str">
        <f>$A$79</f>
        <v>Financing costs</v>
      </c>
      <c r="BC126" s="1" t="str">
        <f t="shared" si="42"/>
        <v>Net interest expense</v>
      </c>
      <c r="BD126" s="1" t="str">
        <f>$C$120</f>
        <v>Allocation of interest to SO</v>
      </c>
    </row>
    <row r="127" spans="1:56">
      <c r="BA127" s="44"/>
    </row>
    <row r="128" spans="1:56" ht="20" thickBot="1">
      <c r="A128" s="15" t="s">
        <v>241</v>
      </c>
    </row>
    <row r="129"/>
    <row r="130"/>
  </sheetData>
  <conditionalFormatting sqref="H1">
    <cfRule type="cellIs" dxfId="9" priority="1" operator="equal">
      <formula>"ERROR"</formula>
    </cfRule>
  </conditionalFormatting>
  <pageMargins left="0.7" right="0.7" top="0.75" bottom="0.75" header="0.3" footer="0.3"/>
  <pageSetup paperSize="9" orientation="portrait" r:id="rId1"/>
  <headerFooter>
    <oddFooter>&amp;L_x000D_&amp;1#&amp;"Aptos"&amp;10&amp;K000000 National Gas | Business Use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2D95A4-8E65-4A7A-8CD2-E358C945D405}">
  <sheetPr codeName="Sheet10">
    <tabColor rgb="FFBAA0CC"/>
    <pageSetUpPr autoPageBreaks="0"/>
  </sheetPr>
  <dimension ref="A1:BF109"/>
  <sheetViews>
    <sheetView workbookViewId="0">
      <pane xSplit="10" ySplit="4" topLeftCell="K5" activePane="bottomRight" state="frozen"/>
      <selection pane="topRight" activeCell="K1" sqref="K1"/>
      <selection pane="bottomLeft" activeCell="A5" sqref="A5"/>
      <selection pane="bottomRight"/>
    </sheetView>
  </sheetViews>
  <sheetFormatPr defaultColWidth="0" defaultRowHeight="16" zeroHeight="1" outlineLevelRow="1" outlineLevelCol="1"/>
  <cols>
    <col min="1" max="3" width="1.81640625" customWidth="1"/>
    <col min="4" max="4" width="15.7265625" customWidth="1"/>
    <col min="5" max="5" width="77.26953125" customWidth="1"/>
    <col min="6" max="6" width="8.7265625" customWidth="1"/>
    <col min="7" max="7" width="17.7265625" customWidth="1"/>
    <col min="8" max="8" width="9.7265625" customWidth="1"/>
    <col min="9" max="9" width="11.7265625" customWidth="1"/>
    <col min="10" max="10" width="2.08984375" customWidth="1"/>
    <col min="11" max="45" width="11.7265625" hidden="1" customWidth="1" outlineLevel="1"/>
    <col min="46" max="46" width="11.7265625" style="77" hidden="1" customWidth="1" outlineLevel="1"/>
    <col min="47" max="47" width="11.7265625" customWidth="1" collapsed="1"/>
    <col min="48" max="52" width="11.7265625" customWidth="1"/>
    <col min="53" max="55" width="10.7265625" style="1" customWidth="1"/>
    <col min="56" max="57" width="10.7265625" customWidth="1"/>
    <col min="58" max="58" width="1.7265625" style="8" customWidth="1"/>
    <col min="59" max="16384" width="9.08984375" hidden="1"/>
  </cols>
  <sheetData>
    <row r="1" spans="1:56" s="119" customFormat="1" ht="14.5">
      <c r="A1" s="118" t="str" cm="1">
        <f t="array" aca="1" ref="A1" ca="1">MID(CELL("filename",$A$1),FIND("]",CELL("filename",$A$1))+1,255)</f>
        <v>Tax</v>
      </c>
      <c r="G1" s="119" t="s">
        <v>515</v>
      </c>
      <c r="H1" s="38" t="str">
        <f ca="1">Checks!I7</f>
        <v>ERROR</v>
      </c>
      <c r="AT1" s="124"/>
    </row>
    <row r="2" spans="1:56" s="119" customFormat="1" ht="15" customHeight="1">
      <c r="AT2" s="124"/>
    </row>
    <row r="3" spans="1:56" s="119" customFormat="1" ht="15" customHeight="1">
      <c r="E3" s="119" t="s">
        <v>0</v>
      </c>
      <c r="F3" s="119" t="s">
        <v>1</v>
      </c>
      <c r="G3" s="119" t="s">
        <v>2</v>
      </c>
      <c r="H3" s="119" t="s">
        <v>3</v>
      </c>
      <c r="I3" s="119" t="str">
        <f>NGT_TO!I3</f>
        <v>Constant</v>
      </c>
      <c r="AT3" s="124"/>
      <c r="AU3" s="122" t="str">
        <f>NGT_TO!AU3</f>
        <v>Annual values</v>
      </c>
    </row>
    <row r="4" spans="1:56" s="119" customFormat="1" ht="15" customHeight="1">
      <c r="D4" s="121" t="s">
        <v>421</v>
      </c>
      <c r="E4" s="119" t="s">
        <v>6</v>
      </c>
      <c r="K4" s="122">
        <f>NGT_TO!K4</f>
        <v>33328</v>
      </c>
      <c r="L4" s="122">
        <f>NGT_TO!L4</f>
        <v>33694</v>
      </c>
      <c r="M4" s="122">
        <f>NGT_TO!M4</f>
        <v>34059</v>
      </c>
      <c r="N4" s="122">
        <f>NGT_TO!N4</f>
        <v>34424</v>
      </c>
      <c r="O4" s="122">
        <f>NGT_TO!O4</f>
        <v>34789</v>
      </c>
      <c r="P4" s="122">
        <f>NGT_TO!P4</f>
        <v>35155</v>
      </c>
      <c r="Q4" s="122">
        <f>NGT_TO!Q4</f>
        <v>35520</v>
      </c>
      <c r="R4" s="122">
        <f>NGT_TO!R4</f>
        <v>35885</v>
      </c>
      <c r="S4" s="122">
        <f>NGT_TO!S4</f>
        <v>36250</v>
      </c>
      <c r="T4" s="122">
        <f>NGT_TO!T4</f>
        <v>36616</v>
      </c>
      <c r="U4" s="122">
        <f>NGT_TO!U4</f>
        <v>36981</v>
      </c>
      <c r="V4" s="122">
        <f>NGT_TO!V4</f>
        <v>37346</v>
      </c>
      <c r="W4" s="122">
        <f>NGT_TO!W4</f>
        <v>37711</v>
      </c>
      <c r="X4" s="122">
        <f>NGT_TO!X4</f>
        <v>38077</v>
      </c>
      <c r="Y4" s="122">
        <f>NGT_TO!Y4</f>
        <v>38442</v>
      </c>
      <c r="Z4" s="122">
        <f>NGT_TO!Z4</f>
        <v>38807</v>
      </c>
      <c r="AA4" s="122">
        <f>NGT_TO!AA4</f>
        <v>39172</v>
      </c>
      <c r="AB4" s="122">
        <f>NGT_TO!AB4</f>
        <v>39538</v>
      </c>
      <c r="AC4" s="122">
        <f>NGT_TO!AC4</f>
        <v>39903</v>
      </c>
      <c r="AD4" s="122">
        <f>NGT_TO!AD4</f>
        <v>40268</v>
      </c>
      <c r="AE4" s="122">
        <f>NGT_TO!AE4</f>
        <v>40633</v>
      </c>
      <c r="AF4" s="122">
        <f>NGT_TO!AF4</f>
        <v>40999</v>
      </c>
      <c r="AG4" s="122">
        <f>NGT_TO!AG4</f>
        <v>41364</v>
      </c>
      <c r="AH4" s="122">
        <f>NGT_TO!AH4</f>
        <v>41729</v>
      </c>
      <c r="AI4" s="122">
        <f>NGT_TO!AI4</f>
        <v>42094</v>
      </c>
      <c r="AJ4" s="122">
        <f>NGT_TO!AJ4</f>
        <v>42460</v>
      </c>
      <c r="AK4" s="122">
        <f>NGT_TO!AK4</f>
        <v>42825</v>
      </c>
      <c r="AL4" s="122">
        <f>NGT_TO!AL4</f>
        <v>43190</v>
      </c>
      <c r="AM4" s="122">
        <f>NGT_TO!AM4</f>
        <v>43555</v>
      </c>
      <c r="AN4" s="122">
        <f>NGT_TO!AN4</f>
        <v>43921</v>
      </c>
      <c r="AO4" s="122">
        <f>NGT_TO!AO4</f>
        <v>44286</v>
      </c>
      <c r="AP4" s="122">
        <f>NGT_TO!AP4</f>
        <v>44651</v>
      </c>
      <c r="AQ4" s="122">
        <f>NGT_TO!AQ4</f>
        <v>45016</v>
      </c>
      <c r="AR4" s="122">
        <f>NGT_TO!AR4</f>
        <v>45382</v>
      </c>
      <c r="AS4" s="122">
        <f>NGT_TO!AS4</f>
        <v>45747</v>
      </c>
      <c r="AT4" s="123">
        <f>NGT_TO!AT4</f>
        <v>46112</v>
      </c>
      <c r="AU4" s="122">
        <f>NGT_TO!AU4</f>
        <v>46477</v>
      </c>
      <c r="AV4" s="122">
        <f>NGT_TO!AV4</f>
        <v>46843</v>
      </c>
      <c r="AW4" s="122">
        <f>NGT_TO!AW4</f>
        <v>47208</v>
      </c>
      <c r="AX4" s="122">
        <f>NGT_TO!AX4</f>
        <v>47573</v>
      </c>
      <c r="AY4" s="122">
        <f>NGT_TO!AY4</f>
        <v>47938</v>
      </c>
      <c r="BA4" s="127" t="s">
        <v>527</v>
      </c>
      <c r="BB4" s="127" t="s">
        <v>528</v>
      </c>
      <c r="BC4" s="127" t="s">
        <v>529</v>
      </c>
      <c r="BD4" s="127" t="s">
        <v>530</v>
      </c>
    </row>
    <row r="5" spans="1:56">
      <c r="AP5" s="1"/>
      <c r="AQ5" s="1"/>
      <c r="AR5" s="1"/>
      <c r="AS5" s="1"/>
      <c r="AT5" s="100"/>
    </row>
    <row r="6" spans="1:56" ht="20" thickBot="1">
      <c r="A6" s="15" t="s">
        <v>400</v>
      </c>
      <c r="AP6" s="1"/>
      <c r="AQ6" s="1"/>
      <c r="AR6" s="1"/>
      <c r="AS6" s="1"/>
      <c r="AT6" s="100"/>
      <c r="AU6" s="1"/>
      <c r="AV6" s="1"/>
      <c r="AW6" s="1"/>
      <c r="AX6" s="1"/>
      <c r="AY6" s="1"/>
    </row>
    <row r="7" spans="1:56" ht="16.5" outlineLevel="1" thickTop="1">
      <c r="D7" s="1" t="str" cm="1">
        <f t="array" aca="1" ref="D7" ca="1">IFERROR(MID(_xlfn.FORMULATEXT(I7),FIND("=",_xlfn.FORMULATEXT(I7))+1,FIND("!",_xlfn.FORMULATEXT(I7))-2),MID(_xlfn.FORMULATEXT(INDEX(L7:AV7,MATCH(FALSE,ISBLANK(L7:AV7),0))),FIND("=",_xlfn.FORMULATEXT(INDEX(L7:AV7,MATCH(FALSE,ISBLANK(L7:AV7),0))))+1,FIND("!",_xlfn.FORMULATEXT(INDEX(L7:AV7,MATCH(FALSE,ISBLANK(L7:AV7),0))))-2))</f>
        <v>Transform_TO</v>
      </c>
      <c r="E7" t="s">
        <v>85</v>
      </c>
      <c r="G7" t="s">
        <v>33</v>
      </c>
      <c r="AU7" s="99">
        <f>Transform_TO!AU231</f>
        <v>0.25</v>
      </c>
      <c r="AV7" s="70">
        <f>Transform_TO!AV231</f>
        <v>0.25</v>
      </c>
      <c r="AW7" s="70">
        <f>Transform_TO!AW231</f>
        <v>0.25</v>
      </c>
      <c r="AX7" s="70">
        <f>Transform_TO!AX231</f>
        <v>0.25</v>
      </c>
      <c r="AY7" s="70">
        <f>Transform_TO!AY231</f>
        <v>0.25</v>
      </c>
    </row>
    <row r="8" spans="1:56" outlineLevel="1">
      <c r="D8" s="1" t="str" cm="1">
        <f t="array" aca="1" ref="D8" ca="1">IFERROR(MID(_xlfn.FORMULATEXT(I8),FIND("=",_xlfn.FORMULATEXT(I8))+1,FIND("!",_xlfn.FORMULATEXT(I8))-2),MID(_xlfn.FORMULATEXT(INDEX(L8:AV8,MATCH(FALSE,ISBLANK(L8:AV8),0))),FIND("=",_xlfn.FORMULATEXT(INDEX(L8:AV8,MATCH(FALSE,ISBLANK(L8:AV8),0))))+1,FIND("!",_xlfn.FORMULATEXT(INDEX(L8:AV8,MATCH(FALSE,ISBLANK(L8:AV8),0))))-2))</f>
        <v>Revenue_TO</v>
      </c>
      <c r="E8" t="s">
        <v>191</v>
      </c>
      <c r="G8" t="str">
        <f>price_label</f>
        <v>£m 23/24 prices</v>
      </c>
      <c r="AU8" s="95">
        <f>Revenue_TO!AU18</f>
        <v>1189.4381053064228</v>
      </c>
      <c r="AV8" s="69">
        <f ca="1">Revenue_TO!AV18</f>
        <v>1266.7026891179125</v>
      </c>
      <c r="AW8" s="69">
        <f ca="1">Revenue_TO!AW18</f>
        <v>1318.3107462697847</v>
      </c>
      <c r="AX8" s="69">
        <f ca="1">Revenue_TO!AX18</f>
        <v>1309.0967843251353</v>
      </c>
      <c r="AY8" s="69">
        <f ca="1">Revenue_TO!AY18</f>
        <v>1331.4442151284579</v>
      </c>
      <c r="AZ8" s="1"/>
      <c r="BA8" s="44"/>
    </row>
    <row r="9" spans="1:56" outlineLevel="1">
      <c r="D9" s="1" t="str" cm="1">
        <f t="array" aca="1" ref="D9" ca="1">IFERROR(MID(_xlfn.FORMULATEXT(I9),FIND("=",_xlfn.FORMULATEXT(I9))+1,FIND("!",_xlfn.FORMULATEXT(I9))-2),MID(_xlfn.FORMULATEXT(INDEX(L9:AV9,MATCH(FALSE,ISBLANK(L9:AV9),0))),FIND("=",_xlfn.FORMULATEXT(INDEX(L9:AV9,MATCH(FALSE,ISBLANK(L9:AV9),0))))+1,FIND("!",_xlfn.FORMULATEXT(INDEX(L9:AV9,MATCH(FALSE,ISBLANK(L9:AV9),0))))-2))</f>
        <v>Transform_TO</v>
      </c>
      <c r="E9" t="s">
        <v>389</v>
      </c>
      <c r="G9" t="str">
        <f>price_label</f>
        <v>£m 23/24 prices</v>
      </c>
      <c r="AU9" s="95">
        <f>Transform_TO!AU154</f>
        <v>0</v>
      </c>
      <c r="AV9" s="69">
        <f>Transform_TO!AV154</f>
        <v>0</v>
      </c>
      <c r="AW9" s="69">
        <f>Transform_TO!AW154</f>
        <v>0</v>
      </c>
      <c r="AX9" s="69">
        <f>Transform_TO!AX154</f>
        <v>0</v>
      </c>
      <c r="AY9" s="69">
        <f>Transform_TO!AY154</f>
        <v>0</v>
      </c>
    </row>
    <row r="10" spans="1:56" outlineLevel="1">
      <c r="D10" s="1" t="str" cm="1">
        <f t="array" aca="1" ref="D10" ca="1">IFERROR(MID(_xlfn.FORMULATEXT(I10),FIND("=",_xlfn.FORMULATEXT(I10))+1,FIND("!",_xlfn.FORMULATEXT(I10))-2),MID(_xlfn.FORMULATEXT(INDEX(L10:AV10,MATCH(FALSE,ISBLANK(L10:AV10),0))),FIND("=",_xlfn.FORMULATEXT(INDEX(L10:AV10,MATCH(FALSE,ISBLANK(L10:AV10),0))))+1,FIND("!",_xlfn.FORMULATEXT(INDEX(L10:AV10,MATCH(FALSE,ISBLANK(L10:AV10),0))))-2))</f>
        <v>Finance</v>
      </c>
      <c r="E10" t="s">
        <v>320</v>
      </c>
      <c r="G10" t="str">
        <f t="shared" ref="G10:G11" si="0">nominal</f>
        <v>£m nominal</v>
      </c>
      <c r="AU10" s="95">
        <f>Finance!AU125</f>
        <v>-212.7880044316708</v>
      </c>
      <c r="AV10" s="69">
        <f ca="1">Finance!AV125</f>
        <v>-227.7348315358835</v>
      </c>
      <c r="AW10" s="69">
        <f ca="1">Finance!AW125</f>
        <v>-246.28227029416675</v>
      </c>
      <c r="AX10" s="69">
        <f ca="1">Finance!AX125</f>
        <v>-263.18409784117188</v>
      </c>
      <c r="AY10" s="69">
        <f ca="1">Finance!AY125</f>
        <v>-276.19535707611385</v>
      </c>
      <c r="BA10" s="44"/>
    </row>
    <row r="11" spans="1:56" outlineLevel="1">
      <c r="D11" s="1" t="str" cm="1">
        <f t="array" aca="1" ref="D11" ca="1">IFERROR(MID(_xlfn.FORMULATEXT(I11),FIND("=",_xlfn.FORMULATEXT(I11))+1,FIND("!",_xlfn.FORMULATEXT(I11))-2),MID(_xlfn.FORMULATEXT(INDEX(L11:AV11,MATCH(FALSE,ISBLANK(L11:AV11),0))),FIND("=",_xlfn.FORMULATEXT(INDEX(L11:AV11,MATCH(FALSE,ISBLANK(L11:AV11),0))))+1,FIND("!",_xlfn.FORMULATEXT(INDEX(L11:AV11,MATCH(FALSE,ISBLANK(L11:AV11),0))))-2))</f>
        <v>Finance</v>
      </c>
      <c r="E11" t="s">
        <v>326</v>
      </c>
      <c r="G11" t="str">
        <f t="shared" si="0"/>
        <v>£m nominal</v>
      </c>
      <c r="AU11" s="95">
        <f>Finance!AU126</f>
        <v>-32.179358603076572</v>
      </c>
      <c r="AV11" s="69">
        <f ca="1">Finance!AV126</f>
        <v>-31.82497069276112</v>
      </c>
      <c r="AW11" s="69">
        <f ca="1">Finance!AW126</f>
        <v>-33.588819668271164</v>
      </c>
      <c r="AX11" s="69">
        <f ca="1">Finance!AX126</f>
        <v>-34.806353571947753</v>
      </c>
      <c r="AY11" s="69">
        <f ca="1">Finance!AY126</f>
        <v>-35.955444960019626</v>
      </c>
      <c r="BA11" s="44"/>
    </row>
    <row r="12" spans="1:56" outlineLevel="1">
      <c r="D12" s="1" t="str" cm="1">
        <f t="array" aca="1" ref="D12" ca="1">IFERROR(MID(_xlfn.FORMULATEXT(I12),FIND("=",_xlfn.FORMULATEXT(I12))+1,FIND("!",_xlfn.FORMULATEXT(I12))-2),MID(_xlfn.FORMULATEXT(INDEX(L12:AV12,MATCH(FALSE,ISBLANK(L12:AV12),0))),FIND("=",_xlfn.FORMULATEXT(INDEX(L12:AV12,MATCH(FALSE,ISBLANK(L12:AV12),0))))+1,FIND("!",_xlfn.FORMULATEXT(INDEX(L12:AV12,MATCH(FALSE,ISBLANK(L12:AV12),0))))-2))</f>
        <v>TaxPools</v>
      </c>
      <c r="E12" t="s">
        <v>175</v>
      </c>
      <c r="G12" t="str">
        <f>price_label</f>
        <v>£m 23/24 prices</v>
      </c>
      <c r="AU12" s="95">
        <f>TaxPools!AU45</f>
        <v>378.2009036619416</v>
      </c>
      <c r="AV12" s="69">
        <f>TaxPools!AV45</f>
        <v>407.03319359514711</v>
      </c>
      <c r="AW12" s="69">
        <f>TaxPools!AW45</f>
        <v>409.25994718985419</v>
      </c>
      <c r="AX12" s="69">
        <f>TaxPools!AX45</f>
        <v>402.41320550416532</v>
      </c>
      <c r="AY12" s="69">
        <f>TaxPools!AY45</f>
        <v>398.74608230059857</v>
      </c>
      <c r="BA12" s="44"/>
    </row>
    <row r="13" spans="1:56" outlineLevel="1">
      <c r="D13" s="1" t="str" cm="1">
        <f t="array" aca="1" ref="D13" ca="1">IFERROR(MID(_xlfn.FORMULATEXT(I13),FIND("=",_xlfn.FORMULATEXT(I13))+1,FIND("!",_xlfn.FORMULATEXT(I13))-2),MID(_xlfn.FORMULATEXT(INDEX(L13:AV13,MATCH(FALSE,ISBLANK(L13:AV13),0))),FIND("=",_xlfn.FORMULATEXT(INDEX(L13:AV13,MATCH(FALSE,ISBLANK(L13:AV13),0))))+1,FIND("!",_xlfn.FORMULATEXT(INDEX(L13:AV13,MATCH(FALSE,ISBLANK(L13:AV13),0))))-2))</f>
        <v>TaxPools</v>
      </c>
      <c r="E13" t="s">
        <v>176</v>
      </c>
      <c r="G13" t="str">
        <f>nominal</f>
        <v>£m nominal</v>
      </c>
      <c r="AU13" s="95">
        <f ca="1">TaxPools!AU101</f>
        <v>569.60240973984742</v>
      </c>
      <c r="AV13" s="69">
        <f ca="1">TaxPools!AV101</f>
        <v>722.56799136295228</v>
      </c>
      <c r="AW13" s="69">
        <f ca="1">TaxPools!AW101</f>
        <v>770.44478618975131</v>
      </c>
      <c r="AX13" s="69">
        <f ca="1">TaxPools!AX101</f>
        <v>581.90649909514275</v>
      </c>
      <c r="AY13" s="69">
        <f ca="1">TaxPools!AY101</f>
        <v>553.94657109717878</v>
      </c>
      <c r="BA13" s="44"/>
    </row>
    <row r="14" spans="1:56" outlineLevel="1">
      <c r="D14" s="1" t="str" cm="1">
        <f t="array" aca="1" ref="D14" ca="1">IFERROR(MID(_xlfn.FORMULATEXT(I14),FIND("=",_xlfn.FORMULATEXT(I14))+1,FIND("!",_xlfn.FORMULATEXT(I14))-2),MID(_xlfn.FORMULATEXT(INDEX(L14:AV14,MATCH(FALSE,ISBLANK(L14:AV14),0))),FIND("=",_xlfn.FORMULATEXT(INDEX(L14:AV14,MATCH(FALSE,ISBLANK(L14:AV14),0))))+1,FIND("!",_xlfn.FORMULATEXT(INDEX(L14:AV14,MATCH(FALSE,ISBLANK(L14:AV14),0))))-2))</f>
        <v>Transform_TO</v>
      </c>
      <c r="E14" t="s">
        <v>28</v>
      </c>
      <c r="G14" t="str">
        <f>price_label</f>
        <v>£m 23/24 prices</v>
      </c>
      <c r="AU14" s="95">
        <f>Transform_TO!AU224</f>
        <v>0</v>
      </c>
      <c r="AV14" s="69">
        <f>Transform_TO!AV224</f>
        <v>0</v>
      </c>
      <c r="AW14" s="69">
        <f>Transform_TO!AW224</f>
        <v>0</v>
      </c>
      <c r="AX14" s="69">
        <f>Transform_TO!AX224</f>
        <v>0</v>
      </c>
      <c r="AY14" s="69">
        <f>Transform_TO!AY224</f>
        <v>0</v>
      </c>
    </row>
    <row r="15" spans="1:56" outlineLevel="1">
      <c r="D15" s="1" t="str" cm="1">
        <f t="array" aca="1" ref="D15" ca="1">IFERROR(MID(_xlfn.FORMULATEXT(I15),FIND("=",_xlfn.FORMULATEXT(I15))+1,FIND("!",_xlfn.FORMULATEXT(I15))-2),MID(_xlfn.FORMULATEXT(INDEX(L15:AV15,MATCH(FALSE,ISBLANK(L15:AV15),0))),FIND("=",_xlfn.FORMULATEXT(INDEX(L15:AV15,MATCH(FALSE,ISBLANK(L15:AV15),0))))+1,FIND("!",_xlfn.FORMULATEXT(INDEX(L15:AV15,MATCH(FALSE,ISBLANK(L15:AV15),0))))-2))</f>
        <v>Transform_TO</v>
      </c>
      <c r="E15" t="s">
        <v>68</v>
      </c>
      <c r="G15" t="str">
        <f>price_label</f>
        <v>£m 23/24 prices</v>
      </c>
      <c r="AU15" s="95">
        <f>Transform_TO!AU228</f>
        <v>3.9365467496633211</v>
      </c>
      <c r="AV15" s="69">
        <f>Transform_TO!AV228</f>
        <v>4.0631518333322241</v>
      </c>
      <c r="AW15" s="69">
        <f>Transform_TO!AW228</f>
        <v>4.1500224081482031</v>
      </c>
      <c r="AX15" s="69">
        <f>Transform_TO!AX228</f>
        <v>4.0854260511639939</v>
      </c>
      <c r="AY15" s="69">
        <f>Transform_TO!AY228</f>
        <v>4.1417286836148142</v>
      </c>
    </row>
    <row r="16" spans="1:56" outlineLevel="1">
      <c r="A16" s="1"/>
      <c r="D16" s="1" t="str" cm="1">
        <f t="array" aca="1" ref="D16" ca="1">IFERROR(MID(_xlfn.FORMULATEXT(I16),FIND("=",_xlfn.FORMULATEXT(I16))+1,FIND("!",_xlfn.FORMULATEXT(I16))-2),MID(_xlfn.FORMULATEXT(INDEX(L16:AV16,MATCH(FALSE,ISBLANK(L16:AV16),0))),FIND("=",_xlfn.FORMULATEXT(INDEX(L16:AV16,MATCH(FALSE,ISBLANK(L16:AV16),0))))+1,FIND("!",_xlfn.FORMULATEXT(INDEX(L16:AV16,MATCH(FALSE,ISBLANK(L16:AV16),0))))-2))</f>
        <v>Transform_TO</v>
      </c>
      <c r="E16" t="s">
        <v>236</v>
      </c>
      <c r="G16" t="str">
        <f>Transform_TO!G171</f>
        <v>scalar</v>
      </c>
      <c r="AU16" s="101">
        <f>Transform_TO!AU171</f>
        <v>1.0902530663834287</v>
      </c>
      <c r="AV16" s="71">
        <f>Transform_TO!AV171</f>
        <v>1.1133444029171624</v>
      </c>
      <c r="AW16" s="71">
        <f>Transform_TO!AW171</f>
        <v>1.1368604024486282</v>
      </c>
      <c r="AX16" s="71">
        <f>Transform_TO!AX171</f>
        <v>1.1609444338602923</v>
      </c>
      <c r="AY16" s="71">
        <f>Transform_TO!AY171</f>
        <v>1.1846925189308175</v>
      </c>
    </row>
    <row r="17" spans="1:54" outlineLevel="1">
      <c r="A17" s="1"/>
      <c r="D17" s="1" t="str" cm="1">
        <f t="array" aca="1" ref="D17" ca="1">IFERROR(MID(_xlfn.FORMULATEXT(I17),FIND("=",_xlfn.FORMULATEXT(I17))+1,FIND("!",_xlfn.FORMULATEXT(I17))-2),MID(_xlfn.FORMULATEXT(INDEX(L17:AV17,MATCH(FALSE,ISBLANK(L17:AV17),0))),FIND("=",_xlfn.FORMULATEXT(INDEX(L17:AV17,MATCH(FALSE,ISBLANK(L17:AV17),0))))+1,FIND("!",_xlfn.FORMULATEXT(INDEX(L17:AV17,MATCH(FALSE,ISBLANK(L17:AV17),0))))-2))</f>
        <v>'Return&amp;RAV'</v>
      </c>
      <c r="E17" t="s">
        <v>162</v>
      </c>
      <c r="G17" t="str">
        <f>price_label</f>
        <v>£m 23/24 prices</v>
      </c>
      <c r="AU17" s="95">
        <f>'Return&amp;RAV'!AU38</f>
        <v>7510.7041471698431</v>
      </c>
      <c r="AV17" s="69">
        <f>'Return&amp;RAV'!AV38</f>
        <v>7821.3803002375789</v>
      </c>
      <c r="AW17" s="69">
        <f>'Return&amp;RAV'!AW38</f>
        <v>8140.1262045750836</v>
      </c>
      <c r="AX17" s="69">
        <f>'Return&amp;RAV'!AX38</f>
        <v>8184.5156579942141</v>
      </c>
      <c r="AY17" s="69">
        <f>'Return&amp;RAV'!AY38</f>
        <v>8154.1848412305453</v>
      </c>
      <c r="BA17" s="44"/>
    </row>
    <row r="18" spans="1:54" outlineLevel="1">
      <c r="A18" s="1"/>
      <c r="D18" s="1" t="str" cm="1">
        <f t="array" aca="1" ref="D18" ca="1">IFERROR(MID(_xlfn.FORMULATEXT(I18),FIND("=",_xlfn.FORMULATEXT(I18))+1,FIND("!",_xlfn.FORMULATEXT(I18))-2),MID(_xlfn.FORMULATEXT(INDEX(L18:AV18,MATCH(FALSE,ISBLANK(L18:AV18),0))),FIND("=",_xlfn.FORMULATEXT(INDEX(L18:AV18,MATCH(FALSE,ISBLANK(L18:AV18),0))))+1,FIND("!",_xlfn.FORMULATEXT(INDEX(L18:AV18,MATCH(FALSE,ISBLANK(L18:AV18),0))))-2))</f>
        <v>Transform_TO</v>
      </c>
      <c r="E18" t="s">
        <v>24</v>
      </c>
      <c r="G18" t="str">
        <f>nominal</f>
        <v>£m nominal</v>
      </c>
      <c r="AU18" s="95">
        <f>Transform_TO!AU221</f>
        <v>0</v>
      </c>
      <c r="AV18" s="69">
        <f>Transform_TO!AV221</f>
        <v>0</v>
      </c>
      <c r="AW18" s="69">
        <f>Transform_TO!AW221</f>
        <v>0</v>
      </c>
      <c r="AX18" s="69">
        <f>Transform_TO!AX221</f>
        <v>0</v>
      </c>
      <c r="AY18" s="69">
        <f>Transform_TO!AY221</f>
        <v>0</v>
      </c>
    </row>
    <row r="19" spans="1:54" outlineLevel="1">
      <c r="A19" s="1"/>
      <c r="D19" s="1" t="str" cm="1">
        <f t="array" aca="1" ref="D19" ca="1">IFERROR(MID(_xlfn.FORMULATEXT(I19),FIND("=",_xlfn.FORMULATEXT(I19))+1,FIND("!",_xlfn.FORMULATEXT(I19))-2),MID(_xlfn.FORMULATEXT(INDEX(L19:AV19,MATCH(FALSE,ISBLANK(L19:AV19),0))),FIND("=",_xlfn.FORMULATEXT(INDEX(L19:AV19,MATCH(FALSE,ISBLANK(L19:AV19),0))))+1,FIND("!",_xlfn.FORMULATEXT(INDEX(L19:AV19,MATCH(FALSE,ISBLANK(L19:AV19),0))))-2))</f>
        <v>Transform_TO</v>
      </c>
      <c r="E19" t="s">
        <v>67</v>
      </c>
      <c r="G19" t="s">
        <v>33</v>
      </c>
      <c r="AU19" s="99">
        <f>Transform_TO!AU227</f>
        <v>0.6</v>
      </c>
      <c r="AV19" s="70">
        <f>Transform_TO!AV227</f>
        <v>0.6</v>
      </c>
      <c r="AW19" s="70">
        <f>Transform_TO!AW227</f>
        <v>0.6</v>
      </c>
      <c r="AX19" s="70">
        <f>Transform_TO!AX227</f>
        <v>0.6</v>
      </c>
      <c r="AY19" s="70">
        <f>Transform_TO!AY227</f>
        <v>0.6</v>
      </c>
    </row>
    <row r="20" spans="1:54" outlineLevel="1">
      <c r="D20" s="1" t="str" cm="1">
        <f t="array" aca="1" ref="D20" ca="1">IFERROR(MID(_xlfn.FORMULATEXT(I20),FIND("=",_xlfn.FORMULATEXT(I20))+1,FIND("!",_xlfn.FORMULATEXT(I20))-2),MID(_xlfn.FORMULATEXT(INDEX(L20:AV20,MATCH(FALSE,ISBLANK(L20:AV20),0))),FIND("=",_xlfn.FORMULATEXT(INDEX(L20:AV20,MATCH(FALSE,ISBLANK(L20:AV20),0))))+1,FIND("!",_xlfn.FORMULATEXT(INDEX(L20:AV20,MATCH(FALSE,ISBLANK(L20:AV20),0))))-2))</f>
        <v>Transform_TO</v>
      </c>
      <c r="E20" t="s">
        <v>25</v>
      </c>
      <c r="G20" t="str">
        <f t="shared" ref="G20:G23" si="1">nominal</f>
        <v>£m nominal</v>
      </c>
      <c r="AU20" s="95">
        <f>Transform_TO!AU222</f>
        <v>0</v>
      </c>
      <c r="AV20" s="69">
        <f>Transform_TO!AV222</f>
        <v>0</v>
      </c>
      <c r="AW20" s="69">
        <f>Transform_TO!AW222</f>
        <v>0</v>
      </c>
      <c r="AX20" s="69">
        <f>Transform_TO!AX222</f>
        <v>0</v>
      </c>
      <c r="AY20" s="69">
        <f>Transform_TO!AY222</f>
        <v>0</v>
      </c>
    </row>
    <row r="21" spans="1:54" outlineLevel="1">
      <c r="D21" s="1" t="str" cm="1">
        <f t="array" aca="1" ref="D21" ca="1">IFERROR(MID(_xlfn.FORMULATEXT(I21),FIND("=",_xlfn.FORMULATEXT(I21))+1,FIND("!",_xlfn.FORMULATEXT(I21))-2),MID(_xlfn.FORMULATEXT(INDEX(L21:AV21,MATCH(FALSE,ISBLANK(L21:AV21),0))),FIND("=",_xlfn.FORMULATEXT(INDEX(L21:AV21,MATCH(FALSE,ISBLANK(L21:AV21),0))))+1,FIND("!",_xlfn.FORMULATEXT(INDEX(L21:AV21,MATCH(FALSE,ISBLANK(L21:AV21),0))))-2))</f>
        <v>Transform_TO</v>
      </c>
      <c r="E21" t="s">
        <v>247</v>
      </c>
      <c r="G21" t="str">
        <f t="shared" si="1"/>
        <v>£m nominal</v>
      </c>
      <c r="I21" s="69">
        <f>Transform_TO!I232</f>
        <v>5</v>
      </c>
      <c r="BA21" s="44"/>
    </row>
    <row r="22" spans="1:54" outlineLevel="1">
      <c r="D22" s="1" t="str" cm="1">
        <f t="array" aca="1" ref="D22" ca="1">IFERROR(MID(_xlfn.FORMULATEXT(I22),FIND("=",_xlfn.FORMULATEXT(I22))+1,FIND("!",_xlfn.FORMULATEXT(I22))-2),MID(_xlfn.FORMULATEXT(INDEX(L22:AV22,MATCH(FALSE,ISBLANK(L22:AV22),0))),FIND("=",_xlfn.FORMULATEXT(INDEX(L22:AV22,MATCH(FALSE,ISBLANK(L22:AV22),0))))+1,FIND("!",_xlfn.FORMULATEXT(INDEX(L22:AV22,MATCH(FALSE,ISBLANK(L22:AV22),0))))-2))</f>
        <v>Transform_TO</v>
      </c>
      <c r="E22" t="s">
        <v>246</v>
      </c>
      <c r="G22" t="s">
        <v>33</v>
      </c>
      <c r="I22" s="70">
        <f>Transform_TO!I233</f>
        <v>0.5</v>
      </c>
      <c r="BA22" s="44"/>
    </row>
    <row r="23" spans="1:54" outlineLevel="1">
      <c r="D23" s="1" t="str" cm="1">
        <f t="array" aca="1" ref="D23" ca="1">IFERROR(MID(_xlfn.FORMULATEXT(I23),FIND("=",_xlfn.FORMULATEXT(I23))+1,FIND("!",_xlfn.FORMULATEXT(I23))-2),MID(_xlfn.FORMULATEXT(INDEX(L23:AV23,MATCH(FALSE,ISBLANK(L23:AV23),0))),FIND("=",_xlfn.FORMULATEXT(INDEX(L23:AV23,MATCH(FALSE,ISBLANK(L23:AV23),0))))+1,FIND("!",_xlfn.FORMULATEXT(INDEX(L23:AV23,MATCH(FALSE,ISBLANK(L23:AV23),0))))-2))</f>
        <v>Transform_TO</v>
      </c>
      <c r="E23" t="s">
        <v>31</v>
      </c>
      <c r="G23" t="str">
        <f t="shared" si="1"/>
        <v>£m nominal</v>
      </c>
      <c r="AU23" s="95">
        <f>Transform_TO!AU225</f>
        <v>0</v>
      </c>
    </row>
    <row r="24" spans="1:54" outlineLevel="1">
      <c r="A24" s="1"/>
      <c r="D24" s="1" t="str" cm="1">
        <f t="array" aca="1" ref="D24" ca="1">IFERROR(MID(_xlfn.FORMULATEXT(I24),FIND("=",_xlfn.FORMULATEXT(I24))+1,FIND("!",_xlfn.FORMULATEXT(I24))-2),MID(_xlfn.FORMULATEXT(INDEX(L24:AV24,MATCH(FALSE,ISBLANK(L24:AV24),0))),FIND("=",_xlfn.FORMULATEXT(INDEX(L24:AV24,MATCH(FALSE,ISBLANK(L24:AV24),0))))+1,FIND("!",_xlfn.FORMULATEXT(INDEX(L24:AV24,MATCH(FALSE,ISBLANK(L24:AV24),0))))-2))</f>
        <v>Transform_TO</v>
      </c>
      <c r="E24" t="s">
        <v>26</v>
      </c>
      <c r="G24" t="str">
        <f>nominal</f>
        <v>£m nominal</v>
      </c>
      <c r="AU24" s="95">
        <f>Transform_TO!AU223</f>
        <v>0</v>
      </c>
      <c r="AV24" s="69">
        <f>Transform_TO!AV223</f>
        <v>0</v>
      </c>
      <c r="AW24" s="69">
        <f>Transform_TO!AW223</f>
        <v>0</v>
      </c>
      <c r="AX24" s="69">
        <f>Transform_TO!AX223</f>
        <v>0</v>
      </c>
      <c r="AY24" s="69">
        <f>Transform_TO!AY223</f>
        <v>0</v>
      </c>
    </row>
    <row r="25" spans="1:54">
      <c r="BA25" s="44"/>
    </row>
    <row r="26" spans="1:54" ht="20" thickBot="1">
      <c r="A26" s="15" t="s">
        <v>422</v>
      </c>
      <c r="BA26" s="44"/>
    </row>
    <row r="27" spans="1:54" ht="16.5" thickTop="1">
      <c r="A27" s="1"/>
      <c r="E27" t="s">
        <v>209</v>
      </c>
      <c r="G27" t="s">
        <v>21</v>
      </c>
      <c r="AU27" s="106">
        <f>1/(1-AU7)</f>
        <v>1.3333333333333333</v>
      </c>
      <c r="AV27" s="63">
        <f>1/(1-AV7)</f>
        <v>1.3333333333333333</v>
      </c>
      <c r="AW27" s="63">
        <f>1/(1-AW7)</f>
        <v>1.3333333333333333</v>
      </c>
      <c r="AX27" s="63">
        <f>1/(1-AX7)</f>
        <v>1.3333333333333333</v>
      </c>
      <c r="AY27" s="63">
        <f>1/(1-AY7)</f>
        <v>1.3333333333333333</v>
      </c>
      <c r="BA27" s="44" t="str">
        <f ca="1">$A$1</f>
        <v>Tax</v>
      </c>
      <c r="BB27" s="1" t="str">
        <f>$A$26</f>
        <v>Input calculation</v>
      </c>
    </row>
    <row r="28" spans="1:54">
      <c r="A28" s="2"/>
      <c r="BA28" s="44"/>
    </row>
    <row r="29" spans="1:54" ht="20" thickBot="1">
      <c r="A29" s="15" t="s">
        <v>226</v>
      </c>
      <c r="BA29" s="44"/>
    </row>
    <row r="30" spans="1:54" ht="16.5" thickTop="1">
      <c r="E30" t="s">
        <v>649</v>
      </c>
      <c r="G30" t="str">
        <f>nominal</f>
        <v>£m nominal</v>
      </c>
      <c r="AU30" s="97">
        <f>AU8*PCf</f>
        <v>1303.1179309748766</v>
      </c>
      <c r="AV30" s="38">
        <f ca="1">AV8*PCf</f>
        <v>1417.4105298597528</v>
      </c>
      <c r="AW30" s="38">
        <f ca="1">AW8*PCf</f>
        <v>1506.457868030848</v>
      </c>
      <c r="AX30" s="38">
        <f ca="1">AX8*PCf</f>
        <v>1527.4469011332469</v>
      </c>
      <c r="AY30" s="38">
        <f ca="1">AY8*PCf</f>
        <v>1586.6375866849801</v>
      </c>
      <c r="BA30" s="44" t="str">
        <f ca="1">$A$1</f>
        <v>Tax</v>
      </c>
      <c r="BB30" s="1" t="str">
        <f t="shared" ref="BB30:BB36" si="2">$A$29</f>
        <v>Tax base</v>
      </c>
    </row>
    <row r="31" spans="1:54">
      <c r="E31" t="s">
        <v>643</v>
      </c>
      <c r="G31" t="str">
        <f t="shared" ref="G31:G36" si="3">nominal</f>
        <v>£m nominal</v>
      </c>
      <c r="AU31" s="97">
        <f>-AU9*PCf</f>
        <v>0</v>
      </c>
      <c r="AV31" s="38">
        <f>-AV9*PCf</f>
        <v>0</v>
      </c>
      <c r="AW31" s="38">
        <f>-AW9*PCf</f>
        <v>0</v>
      </c>
      <c r="AX31" s="38">
        <f>-AX9*PCf</f>
        <v>0</v>
      </c>
      <c r="AY31" s="38">
        <f>-AY9*PCf</f>
        <v>0</v>
      </c>
      <c r="BA31" s="44" t="str">
        <f t="shared" ref="BA31:BA95" ca="1" si="4">$A$1</f>
        <v>Tax</v>
      </c>
      <c r="BB31" s="1" t="str">
        <f t="shared" si="2"/>
        <v>Tax base</v>
      </c>
    </row>
    <row r="32" spans="1:54">
      <c r="E32" t="s">
        <v>655</v>
      </c>
      <c r="G32" t="str">
        <f t="shared" si="3"/>
        <v>£m nominal</v>
      </c>
      <c r="AU32" s="97">
        <f>AU10</f>
        <v>-212.7880044316708</v>
      </c>
      <c r="AV32" s="38">
        <f ca="1">AV10</f>
        <v>-227.7348315358835</v>
      </c>
      <c r="AW32" s="38">
        <f ca="1">AW10</f>
        <v>-246.28227029416675</v>
      </c>
      <c r="AX32" s="38">
        <f ca="1">AX10</f>
        <v>-263.18409784117188</v>
      </c>
      <c r="AY32" s="38">
        <f ca="1">AY10</f>
        <v>-276.19535707611385</v>
      </c>
      <c r="BA32" s="44" t="str">
        <f t="shared" ca="1" si="4"/>
        <v>Tax</v>
      </c>
      <c r="BB32" s="1" t="str">
        <f t="shared" si="2"/>
        <v>Tax base</v>
      </c>
    </row>
    <row r="33" spans="1:58">
      <c r="E33" t="s">
        <v>656</v>
      </c>
      <c r="G33" t="str">
        <f t="shared" si="3"/>
        <v>£m nominal</v>
      </c>
      <c r="AU33" s="97">
        <f>AU11</f>
        <v>-32.179358603076572</v>
      </c>
      <c r="AV33" s="38">
        <f t="shared" ref="AV33:AY33" ca="1" si="5">AV11</f>
        <v>-31.82497069276112</v>
      </c>
      <c r="AW33" s="38">
        <f t="shared" ca="1" si="5"/>
        <v>-33.588819668271164</v>
      </c>
      <c r="AX33" s="38">
        <f t="shared" ca="1" si="5"/>
        <v>-34.806353571947753</v>
      </c>
      <c r="AY33" s="38">
        <f t="shared" ca="1" si="5"/>
        <v>-35.955444960019626</v>
      </c>
      <c r="BA33" s="44" t="str">
        <f t="shared" ca="1" si="4"/>
        <v>Tax</v>
      </c>
      <c r="BB33" s="1" t="str">
        <f t="shared" si="2"/>
        <v>Tax base</v>
      </c>
    </row>
    <row r="34" spans="1:58">
      <c r="E34" t="s">
        <v>657</v>
      </c>
      <c r="G34" t="str">
        <f t="shared" si="3"/>
        <v>£m nominal</v>
      </c>
      <c r="AU34" s="97">
        <f>-AU12*PCf</f>
        <v>-414.34722569764364</v>
      </c>
      <c r="AV34" s="38">
        <f>-AV12*PCf</f>
        <v>-455.46057457725999</v>
      </c>
      <c r="AW34" s="38">
        <f>-AW12*PCf</f>
        <v>-467.66884762075301</v>
      </c>
      <c r="AX34" s="38">
        <f>-AX12*PCf</f>
        <v>-469.53350667598295</v>
      </c>
      <c r="AY34" s="38">
        <f>-AY12*PCf</f>
        <v>-475.17238389178215</v>
      </c>
      <c r="BA34" s="44" t="str">
        <f t="shared" ca="1" si="4"/>
        <v>Tax</v>
      </c>
      <c r="BB34" s="1" t="str">
        <f t="shared" si="2"/>
        <v>Tax base</v>
      </c>
    </row>
    <row r="35" spans="1:58">
      <c r="E35" t="s">
        <v>654</v>
      </c>
      <c r="G35" t="str">
        <f t="shared" si="3"/>
        <v>£m nominal</v>
      </c>
      <c r="AU35" s="97">
        <f ca="1">-AU13</f>
        <v>-569.60240973984742</v>
      </c>
      <c r="AV35" s="38">
        <f ca="1">-AV13</f>
        <v>-722.56799136295228</v>
      </c>
      <c r="AW35" s="38">
        <f ca="1">-AW13</f>
        <v>-770.44478618975131</v>
      </c>
      <c r="AX35" s="38">
        <f ca="1">-AX13</f>
        <v>-581.90649909514275</v>
      </c>
      <c r="AY35" s="38">
        <f ca="1">-AY13</f>
        <v>-553.94657109717878</v>
      </c>
      <c r="BA35" s="44" t="str">
        <f t="shared" ca="1" si="4"/>
        <v>Tax</v>
      </c>
      <c r="BB35" s="1" t="str">
        <f t="shared" si="2"/>
        <v>Tax base</v>
      </c>
    </row>
    <row r="36" spans="1:58">
      <c r="E36" t="s">
        <v>210</v>
      </c>
      <c r="G36" t="str">
        <f t="shared" si="3"/>
        <v>£m nominal</v>
      </c>
      <c r="AU36" s="141">
        <f ca="1">SUM(AU30:AU35)</f>
        <v>74.200932502638352</v>
      </c>
      <c r="AV36" s="65">
        <f ca="1">SUM(AV30:AV35)</f>
        <v>-20.177838309104118</v>
      </c>
      <c r="AW36" s="65">
        <f ca="1">SUM(AW30:AW35)</f>
        <v>-11.526855742094085</v>
      </c>
      <c r="AX36" s="65">
        <f ca="1">SUM(AX30:AX35)</f>
        <v>178.01644394900154</v>
      </c>
      <c r="AY36" s="65">
        <f ca="1">SUM(AY30:AY35)</f>
        <v>245.36782965988573</v>
      </c>
      <c r="BA36" s="44" t="str">
        <f t="shared" ca="1" si="4"/>
        <v>Tax</v>
      </c>
      <c r="BB36" s="1" t="str">
        <f t="shared" si="2"/>
        <v>Tax base</v>
      </c>
    </row>
    <row r="37" spans="1:58">
      <c r="B37" s="1"/>
      <c r="AU37" s="3"/>
      <c r="BA37" s="44"/>
    </row>
    <row r="38" spans="1:58" ht="20" thickBot="1">
      <c r="A38" s="15" t="s">
        <v>211</v>
      </c>
      <c r="BA38" s="44"/>
    </row>
    <row r="39" spans="1:58" ht="16.5" thickTop="1">
      <c r="A39" s="7"/>
      <c r="E39" t="s">
        <v>327</v>
      </c>
      <c r="G39" t="s">
        <v>783</v>
      </c>
      <c r="AU39" s="96" t="b">
        <f>ABS(AU14)&gt;AU15</f>
        <v>0</v>
      </c>
      <c r="AV39" s="61" t="b">
        <f>ABS(AV14)&gt;AV15</f>
        <v>0</v>
      </c>
      <c r="AW39" s="61" t="b">
        <f>ABS(AW14)&gt;AW15</f>
        <v>0</v>
      </c>
      <c r="AX39" s="61" t="b">
        <f>ABS(AX14)&gt;AX15</f>
        <v>0</v>
      </c>
      <c r="AY39" s="61" t="b">
        <f>ABS(AY14)&gt;AY15</f>
        <v>0</v>
      </c>
      <c r="AZ39" s="1"/>
      <c r="BA39" s="44" t="str">
        <f t="shared" ca="1" si="4"/>
        <v>Tax</v>
      </c>
      <c r="BB39" s="1" t="str">
        <f>$A$38</f>
        <v>Tax trigger calculations</v>
      </c>
    </row>
    <row r="40" spans="1:58">
      <c r="E40" t="s">
        <v>658</v>
      </c>
      <c r="G40" t="str">
        <f>price_label</f>
        <v>£m 23/24 prices</v>
      </c>
      <c r="AU40" s="96">
        <f>-SIGN(AU14)*AU15</f>
        <v>0</v>
      </c>
      <c r="AV40" s="61">
        <f>-SIGN(AV14)*AV15</f>
        <v>0</v>
      </c>
      <c r="AW40" s="61">
        <f>-SIGN(AW14)*AW15</f>
        <v>0</v>
      </c>
      <c r="AX40" s="61">
        <f>-SIGN(AX14)*AX15</f>
        <v>0</v>
      </c>
      <c r="AY40" s="61">
        <f>-SIGN(AY14)*AY15</f>
        <v>0</v>
      </c>
      <c r="AZ40" s="1"/>
      <c r="BA40" s="44" t="str">
        <f t="shared" ca="1" si="4"/>
        <v>Tax</v>
      </c>
      <c r="BB40" s="1" t="str">
        <f>$A$38</f>
        <v>Tax trigger calculations</v>
      </c>
    </row>
    <row r="41" spans="1:58">
      <c r="E41" t="s">
        <v>212</v>
      </c>
      <c r="G41" t="str">
        <f>price_label</f>
        <v>£m 23/24 prices</v>
      </c>
      <c r="AU41" s="96">
        <f>SUM(AU14,AU40)*AU39</f>
        <v>0</v>
      </c>
      <c r="AV41" s="61">
        <f>SUM(AV14,AV40)*AV39</f>
        <v>0</v>
      </c>
      <c r="AW41" s="61">
        <f>SUM(AW14,AW40)*AW39</f>
        <v>0</v>
      </c>
      <c r="AX41" s="61">
        <f>SUM(AX14,AX40)*AX39</f>
        <v>0</v>
      </c>
      <c r="AY41" s="61">
        <f>SUM(AY14,AY40)*AY39</f>
        <v>0</v>
      </c>
      <c r="AZ41" s="1"/>
      <c r="BA41" s="44" t="str">
        <f t="shared" ca="1" si="4"/>
        <v>Tax</v>
      </c>
      <c r="BB41" s="1" t="str">
        <f>$A$38</f>
        <v>Tax trigger calculations</v>
      </c>
    </row>
    <row r="42" spans="1:58">
      <c r="BA42" s="44"/>
    </row>
    <row r="43" spans="1:58">
      <c r="E43" t="s">
        <v>213</v>
      </c>
      <c r="G43" t="str">
        <f>nominal</f>
        <v>£m nominal</v>
      </c>
      <c r="AU43" s="96">
        <f>AU41*PCf*((1-AU7)/AU7)</f>
        <v>0</v>
      </c>
      <c r="AV43" s="61">
        <f>AV41*PCf*((1-AV7)/AV7)</f>
        <v>0</v>
      </c>
      <c r="AW43" s="61">
        <f>AW41*PCf*((1-AW7)/AW7)</f>
        <v>0</v>
      </c>
      <c r="AX43" s="61">
        <f>AX41*PCf*((1-AX7)/AX7)</f>
        <v>0</v>
      </c>
      <c r="AY43" s="61">
        <f>AY41*PCf*((1-AY7)/AY7)</f>
        <v>0</v>
      </c>
      <c r="BA43" s="44" t="str">
        <f t="shared" ca="1" si="4"/>
        <v>Tax</v>
      </c>
      <c r="BB43" s="1" t="str">
        <f t="shared" ref="BB43:BB47" si="6">$A$38</f>
        <v>Tax trigger calculations</v>
      </c>
    </row>
    <row r="44" spans="1:58">
      <c r="E44" t="s">
        <v>534</v>
      </c>
      <c r="G44" t="str">
        <f>nominal</f>
        <v>£m nominal</v>
      </c>
      <c r="AU44" s="96">
        <f>AU14*PCf*((1-AU$7)/AU$7)</f>
        <v>0</v>
      </c>
      <c r="AV44" s="61">
        <f>AV14*PCf*((1-AV$7)/AV$7)</f>
        <v>0</v>
      </c>
      <c r="AW44" s="61">
        <f>AW14*PCf*((1-AW$7)/AW$7)</f>
        <v>0</v>
      </c>
      <c r="AX44" s="61">
        <f>AX14*PCf*((1-AX$7)/AX$7)</f>
        <v>0</v>
      </c>
      <c r="AY44" s="61">
        <f>AY14*PCf*((1-AY$7)/AY$7)</f>
        <v>0</v>
      </c>
      <c r="BA44" s="44" t="str">
        <f t="shared" ca="1" si="4"/>
        <v>Tax</v>
      </c>
      <c r="BB44" s="1" t="str">
        <f t="shared" si="6"/>
        <v>Tax trigger calculations</v>
      </c>
    </row>
    <row r="45" spans="1:58" ht="14.5">
      <c r="BA45"/>
      <c r="BB45"/>
      <c r="BC45"/>
      <c r="BF45"/>
    </row>
    <row r="46" spans="1:58">
      <c r="E46" t="s">
        <v>535</v>
      </c>
      <c r="G46" t="str">
        <f>nominal</f>
        <v>£m nominal</v>
      </c>
      <c r="AU46" s="96">
        <f t="shared" ref="AU46:AY47" ca="1" si="7">SUM(AU$36,AU43)</f>
        <v>74.200932502638352</v>
      </c>
      <c r="AV46" s="61">
        <f t="shared" ca="1" si="7"/>
        <v>-20.177838309104118</v>
      </c>
      <c r="AW46" s="61">
        <f t="shared" ca="1" si="7"/>
        <v>-11.526855742094085</v>
      </c>
      <c r="AX46" s="61">
        <f t="shared" ca="1" si="7"/>
        <v>178.01644394900154</v>
      </c>
      <c r="AY46" s="61">
        <f t="shared" ca="1" si="7"/>
        <v>245.36782965988573</v>
      </c>
      <c r="BA46" s="44" t="str">
        <f t="shared" ca="1" si="4"/>
        <v>Tax</v>
      </c>
      <c r="BB46" s="1" t="str">
        <f t="shared" si="6"/>
        <v>Tax trigger calculations</v>
      </c>
    </row>
    <row r="47" spans="1:58">
      <c r="E47" t="s">
        <v>536</v>
      </c>
      <c r="G47" t="str">
        <f>nominal</f>
        <v>£m nominal</v>
      </c>
      <c r="AU47" s="96">
        <f t="shared" ca="1" si="7"/>
        <v>74.200932502638352</v>
      </c>
      <c r="AV47" s="61">
        <f t="shared" ca="1" si="7"/>
        <v>-20.177838309104118</v>
      </c>
      <c r="AW47" s="61">
        <f t="shared" ca="1" si="7"/>
        <v>-11.526855742094085</v>
      </c>
      <c r="AX47" s="61">
        <f t="shared" ca="1" si="7"/>
        <v>178.01644394900154</v>
      </c>
      <c r="AY47" s="61">
        <f t="shared" ca="1" si="7"/>
        <v>245.36782965988573</v>
      </c>
      <c r="BA47" s="44" t="str">
        <f t="shared" ca="1" si="4"/>
        <v>Tax</v>
      </c>
      <c r="BB47" s="1" t="str">
        <f t="shared" si="6"/>
        <v>Tax trigger calculations</v>
      </c>
    </row>
    <row r="48" spans="1:58">
      <c r="BA48" s="44"/>
    </row>
    <row r="49" spans="1:55" ht="20" thickBot="1">
      <c r="A49" s="15" t="s">
        <v>214</v>
      </c>
      <c r="BA49" s="44"/>
    </row>
    <row r="50" spans="1:55" ht="16.5" thickTop="1">
      <c r="E50" t="s">
        <v>397</v>
      </c>
      <c r="G50" t="str">
        <f>nominal</f>
        <v>£m nominal</v>
      </c>
      <c r="AU50" s="96">
        <f>AU17*AU16</f>
        <v>8188.5682271506557</v>
      </c>
      <c r="AV50" s="61">
        <f>AV17*AV16</f>
        <v>8707.8899803560635</v>
      </c>
      <c r="AW50" s="61">
        <f>AW17*AW16</f>
        <v>9254.1871529158543</v>
      </c>
      <c r="AX50" s="61">
        <f>AX17*AX16</f>
        <v>9501.7678969907902</v>
      </c>
      <c r="AY50" s="61">
        <f>AY17*AY16</f>
        <v>9660.2017793849027</v>
      </c>
      <c r="BA50" s="44" t="str">
        <f t="shared" ca="1" si="4"/>
        <v>Tax</v>
      </c>
      <c r="BB50" s="1" t="str">
        <f>$A$49</f>
        <v>Tax clawback calculations</v>
      </c>
      <c r="BC50"/>
    </row>
    <row r="51" spans="1:55">
      <c r="E51" t="s">
        <v>215</v>
      </c>
      <c r="G51" t="s">
        <v>33</v>
      </c>
      <c r="AU51" s="144">
        <f>AU18/AU50</f>
        <v>0</v>
      </c>
      <c r="AV51" s="62">
        <f>AV18/AV50</f>
        <v>0</v>
      </c>
      <c r="AW51" s="62">
        <f>AW18/AW50</f>
        <v>0</v>
      </c>
      <c r="AX51" s="62">
        <f>AX18/AX50</f>
        <v>0</v>
      </c>
      <c r="AY51" s="62">
        <f>AY18/AY50</f>
        <v>0</v>
      </c>
      <c r="BA51" s="44" t="str">
        <f t="shared" ca="1" si="4"/>
        <v>Tax</v>
      </c>
      <c r="BB51" s="1" t="str">
        <f>$A$49</f>
        <v>Tax clawback calculations</v>
      </c>
    </row>
    <row r="52" spans="1:55">
      <c r="E52" t="s">
        <v>216</v>
      </c>
      <c r="G52" t="s">
        <v>783</v>
      </c>
      <c r="AU52" s="96" t="b">
        <f>AU51&gt;AU19</f>
        <v>0</v>
      </c>
      <c r="AV52" s="61" t="b">
        <f>AV51&gt;AV19</f>
        <v>0</v>
      </c>
      <c r="AW52" s="61" t="b">
        <f>AW51&gt;AW19</f>
        <v>0</v>
      </c>
      <c r="AX52" s="61" t="b">
        <f>AX51&gt;AX19</f>
        <v>0</v>
      </c>
      <c r="AY52" s="61" t="b">
        <f>AY51&gt;AY19</f>
        <v>0</v>
      </c>
      <c r="BA52" s="44" t="str">
        <f t="shared" ca="1" si="4"/>
        <v>Tax</v>
      </c>
      <c r="BB52" s="1" t="str">
        <f>$A$49</f>
        <v>Tax clawback calculations</v>
      </c>
    </row>
    <row r="53" spans="1:55">
      <c r="BA53" s="44"/>
    </row>
    <row r="54" spans="1:55">
      <c r="E54" t="s">
        <v>328</v>
      </c>
      <c r="G54" t="s">
        <v>783</v>
      </c>
      <c r="AU54" s="96" t="b">
        <f>AU20&gt;-SUM(AU10,AU11)</f>
        <v>0</v>
      </c>
      <c r="AV54" s="61" t="b">
        <f ca="1">AV20&gt;-SUM(AV10,AV11)</f>
        <v>0</v>
      </c>
      <c r="AW54" s="61" t="b">
        <f ca="1">AW20&gt;-SUM(AW10,AW11)</f>
        <v>0</v>
      </c>
      <c r="AX54" s="61" t="b">
        <f ca="1">AX20&gt;-SUM(AX10,AX11)</f>
        <v>0</v>
      </c>
      <c r="AY54" s="61" t="b">
        <f ca="1">AY20&gt;-SUM(AY10,AY11)</f>
        <v>0</v>
      </c>
      <c r="BA54" s="44" t="str">
        <f t="shared" ca="1" si="4"/>
        <v>Tax</v>
      </c>
      <c r="BB54" s="1" t="str">
        <f>$A$49</f>
        <v>Tax clawback calculations</v>
      </c>
    </row>
    <row r="55" spans="1:55">
      <c r="BA55" s="44"/>
    </row>
    <row r="56" spans="1:55">
      <c r="A56" s="1"/>
      <c r="E56" t="s">
        <v>217</v>
      </c>
      <c r="G56" t="s">
        <v>783</v>
      </c>
      <c r="AU56" s="96" t="b">
        <f>AND(AU52,AU54)</f>
        <v>0</v>
      </c>
      <c r="AV56" s="61" t="b">
        <f t="shared" ref="AV56:AY56" ca="1" si="8">AND(AV52,AV54)</f>
        <v>0</v>
      </c>
      <c r="AW56" s="61" t="b">
        <f t="shared" ca="1" si="8"/>
        <v>0</v>
      </c>
      <c r="AX56" s="61" t="b">
        <f t="shared" ca="1" si="8"/>
        <v>0</v>
      </c>
      <c r="AY56" s="61" t="b">
        <f t="shared" ca="1" si="8"/>
        <v>0</v>
      </c>
      <c r="BA56" s="44" t="str">
        <f t="shared" ca="1" si="4"/>
        <v>Tax</v>
      </c>
      <c r="BB56" s="1" t="str">
        <f>$A$49</f>
        <v>Tax clawback calculations</v>
      </c>
    </row>
    <row r="57" spans="1:55">
      <c r="E57" t="s">
        <v>221</v>
      </c>
      <c r="G57" t="str">
        <f>nominal</f>
        <v>£m nominal</v>
      </c>
      <c r="AU57" s="96">
        <f>(AU20+SUM(AU10,AU11))*AU56</f>
        <v>0</v>
      </c>
      <c r="AV57" s="57">
        <f ca="1">(AV20+SUM(AV10,AV11))*AV56</f>
        <v>0</v>
      </c>
      <c r="AW57" s="57">
        <f ca="1">(AW20+SUM(AW10,AW11))*AW56</f>
        <v>0</v>
      </c>
      <c r="AX57" s="57">
        <f ca="1">(AX20+SUM(AX10,AX11))*AX56</f>
        <v>0</v>
      </c>
      <c r="AY57" s="57">
        <f ca="1">(AY20+SUM(AY10,AY11))*AY56</f>
        <v>0</v>
      </c>
      <c r="BA57" s="44" t="str">
        <f t="shared" ca="1" si="4"/>
        <v>Tax</v>
      </c>
      <c r="BB57" s="1" t="str">
        <f>$A$49</f>
        <v>Tax clawback calculations</v>
      </c>
    </row>
    <row r="58" spans="1:55">
      <c r="BA58" s="44"/>
    </row>
    <row r="59" spans="1:55" ht="17.5" thickBot="1">
      <c r="B59" s="17" t="s">
        <v>537</v>
      </c>
      <c r="G59" t="str">
        <f t="shared" ref="G59:G63" si="9">nominal</f>
        <v>£m nominal</v>
      </c>
      <c r="BA59" s="44"/>
    </row>
    <row r="60" spans="1:55" ht="16.5" thickTop="1">
      <c r="E60" t="s">
        <v>538</v>
      </c>
      <c r="G60" t="str">
        <f t="shared" si="9"/>
        <v>£m nominal</v>
      </c>
      <c r="AU60" s="97">
        <f>AT63</f>
        <v>0</v>
      </c>
      <c r="AV60" s="38">
        <f t="shared" ref="AV60:AY60" ca="1" si="10">AU63</f>
        <v>0</v>
      </c>
      <c r="AW60" s="38">
        <f t="shared" ca="1" si="10"/>
        <v>0</v>
      </c>
      <c r="AX60" s="38">
        <f t="shared" ca="1" si="10"/>
        <v>0</v>
      </c>
      <c r="AY60" s="38">
        <f t="shared" ca="1" si="10"/>
        <v>0</v>
      </c>
      <c r="BA60" s="44" t="str">
        <f t="shared" ca="1" si="4"/>
        <v>Tax</v>
      </c>
      <c r="BB60" s="1" t="str">
        <f>$A$49</f>
        <v>Tax clawback calculations</v>
      </c>
      <c r="BC60" s="1" t="str">
        <f>$B$59</f>
        <v>Tax clawback pool (not restricted)</v>
      </c>
    </row>
    <row r="61" spans="1:55">
      <c r="E61" t="s">
        <v>539</v>
      </c>
      <c r="G61" t="str">
        <f t="shared" si="9"/>
        <v>£m nominal</v>
      </c>
      <c r="AU61" s="97">
        <f>AU57</f>
        <v>0</v>
      </c>
      <c r="AV61" s="38">
        <f t="shared" ref="AV61:AY61" ca="1" si="11">AV57</f>
        <v>0</v>
      </c>
      <c r="AW61" s="38">
        <f t="shared" ca="1" si="11"/>
        <v>0</v>
      </c>
      <c r="AX61" s="38">
        <f t="shared" ca="1" si="11"/>
        <v>0</v>
      </c>
      <c r="AY61" s="38">
        <f t="shared" ca="1" si="11"/>
        <v>0</v>
      </c>
      <c r="BA61" s="44" t="str">
        <f t="shared" ca="1" si="4"/>
        <v>Tax</v>
      </c>
      <c r="BB61" s="1" t="str">
        <f>$A$49</f>
        <v>Tax clawback calculations</v>
      </c>
      <c r="BC61" s="1" t="str">
        <f>$B$59</f>
        <v>Tax clawback pool (not restricted)</v>
      </c>
    </row>
    <row r="62" spans="1:55">
      <c r="E62" t="s">
        <v>540</v>
      </c>
      <c r="G62" t="str">
        <f t="shared" si="9"/>
        <v>£m nominal</v>
      </c>
      <c r="AU62" s="96">
        <f ca="1">IF(AU46&gt;0,-MIN(AU60+AU61,AU46),0)</f>
        <v>0</v>
      </c>
      <c r="AV62" s="61">
        <f t="shared" ref="AV62:AY62" ca="1" si="12">IF(AV46&gt;0,-MIN(AV60+AV61,AV46),0)</f>
        <v>0</v>
      </c>
      <c r="AW62" s="61">
        <f t="shared" ca="1" si="12"/>
        <v>0</v>
      </c>
      <c r="AX62" s="61">
        <f t="shared" ca="1" si="12"/>
        <v>0</v>
      </c>
      <c r="AY62" s="61">
        <f t="shared" ca="1" si="12"/>
        <v>0</v>
      </c>
      <c r="BA62" s="44" t="str">
        <f t="shared" ca="1" si="4"/>
        <v>Tax</v>
      </c>
      <c r="BB62" s="1" t="str">
        <f>$A$49</f>
        <v>Tax clawback calculations</v>
      </c>
      <c r="BC62" s="1" t="str">
        <f>$B$59</f>
        <v>Tax clawback pool (not restricted)</v>
      </c>
    </row>
    <row r="63" spans="1:55">
      <c r="E63" t="s">
        <v>541</v>
      </c>
      <c r="G63" t="str">
        <f t="shared" si="9"/>
        <v>£m nominal</v>
      </c>
      <c r="AU63" s="96">
        <f ca="1">SUM(AU60:AU62)</f>
        <v>0</v>
      </c>
      <c r="AV63" s="61">
        <f t="shared" ref="AV63:AY63" ca="1" si="13">SUM(AV60:AV62)</f>
        <v>0</v>
      </c>
      <c r="AW63" s="61">
        <f t="shared" ca="1" si="13"/>
        <v>0</v>
      </c>
      <c r="AX63" s="61">
        <f t="shared" ca="1" si="13"/>
        <v>0</v>
      </c>
      <c r="AY63" s="61">
        <f t="shared" ca="1" si="13"/>
        <v>0</v>
      </c>
      <c r="BA63" s="44" t="str">
        <f t="shared" ca="1" si="4"/>
        <v>Tax</v>
      </c>
      <c r="BB63" s="1" t="str">
        <f>$A$49</f>
        <v>Tax clawback calculations</v>
      </c>
      <c r="BC63" s="1" t="str">
        <f>$B$59</f>
        <v>Tax clawback pool (not restricted)</v>
      </c>
    </row>
    <row r="64" spans="1:55">
      <c r="BA64" s="44"/>
    </row>
    <row r="65" spans="1:55">
      <c r="E65" t="s">
        <v>542</v>
      </c>
      <c r="G65" t="str">
        <f>nominal</f>
        <v>£m nominal</v>
      </c>
      <c r="AU65" s="96">
        <f ca="1">SUM(AU46,AU62)</f>
        <v>74.200932502638352</v>
      </c>
      <c r="AV65" s="61">
        <f t="shared" ref="AV65:AY65" ca="1" si="14">SUM(AV46,AV62)</f>
        <v>-20.177838309104118</v>
      </c>
      <c r="AW65" s="61">
        <f t="shared" ca="1" si="14"/>
        <v>-11.526855742094085</v>
      </c>
      <c r="AX65" s="61">
        <f t="shared" ca="1" si="14"/>
        <v>178.01644394900154</v>
      </c>
      <c r="AY65" s="61">
        <f t="shared" ca="1" si="14"/>
        <v>245.36782965988573</v>
      </c>
      <c r="BA65" s="44" t="str">
        <f t="shared" ca="1" si="4"/>
        <v>Tax</v>
      </c>
      <c r="BB65" s="1" t="str">
        <f>$A$49</f>
        <v>Tax clawback calculations</v>
      </c>
      <c r="BC65" s="1" t="str">
        <f>$B$59</f>
        <v>Tax clawback pool (not restricted)</v>
      </c>
    </row>
    <row r="66" spans="1:55">
      <c r="BA66" s="44"/>
    </row>
    <row r="67" spans="1:55" ht="20" thickBot="1">
      <c r="A67" s="15" t="s">
        <v>131</v>
      </c>
      <c r="BA67" s="44"/>
    </row>
    <row r="68" spans="1:55" ht="18" thickTop="1" thickBot="1">
      <c r="B68" s="17" t="s">
        <v>310</v>
      </c>
      <c r="BA68" s="44"/>
    </row>
    <row r="69" spans="1:55" ht="16.5" thickTop="1">
      <c r="E69" t="s">
        <v>543</v>
      </c>
      <c r="G69" t="s">
        <v>783</v>
      </c>
      <c r="AU69" s="96" t="b">
        <f ca="1">AU46&gt;$I$21</f>
        <v>1</v>
      </c>
      <c r="AV69" s="61" t="b">
        <f ca="1">AV46&gt;$I$21</f>
        <v>0</v>
      </c>
      <c r="AW69" s="61" t="b">
        <f ca="1">AW46&gt;$I$21</f>
        <v>0</v>
      </c>
      <c r="AX69" s="61" t="b">
        <f ca="1">AX46&gt;$I$21</f>
        <v>1</v>
      </c>
      <c r="AY69" s="61" t="b">
        <f ca="1">AY46&gt;$I$21</f>
        <v>1</v>
      </c>
      <c r="BA69" s="44" t="str">
        <f t="shared" ca="1" si="4"/>
        <v>Tax</v>
      </c>
      <c r="BB69" s="1" t="str">
        <f>$A$67</f>
        <v>Tax allowance</v>
      </c>
      <c r="BC69" s="1" t="str">
        <f>$B$68</f>
        <v>Restriction on relief for carried forward losses</v>
      </c>
    </row>
    <row r="70" spans="1:55">
      <c r="E70" t="s">
        <v>544</v>
      </c>
      <c r="G70" t="str">
        <f t="shared" ref="G70:G71" si="15">nominal</f>
        <v>£m nominal</v>
      </c>
      <c r="AU70" s="96">
        <f ca="1">AU69*($I$21+(AU46-$I$21)*$I$22)</f>
        <v>39.600466251319176</v>
      </c>
      <c r="AV70" s="61">
        <f ca="1">AV69*($I$21+(AV46-$I$21)*$I$22)</f>
        <v>0</v>
      </c>
      <c r="AW70" s="61">
        <f ca="1">AW69*($I$21+(AW46-$I$21)*$I$22)</f>
        <v>0</v>
      </c>
      <c r="AX70" s="61">
        <f ca="1">AX69*($I$21+(AX46-$I$21)*$I$22)</f>
        <v>91.508221974500771</v>
      </c>
      <c r="AY70" s="61">
        <f ca="1">AY69*($I$21+(AY46-$I$21)*$I$22)</f>
        <v>125.18391482994286</v>
      </c>
      <c r="BA70" s="44" t="str">
        <f t="shared" ca="1" si="4"/>
        <v>Tax</v>
      </c>
      <c r="BB70" s="1" t="str">
        <f>$A$67</f>
        <v>Tax allowance</v>
      </c>
      <c r="BC70" s="1" t="str">
        <f>$B$68</f>
        <v>Restriction on relief for carried forward losses</v>
      </c>
    </row>
    <row r="71" spans="1:55">
      <c r="E71" t="s">
        <v>545</v>
      </c>
      <c r="G71" t="str">
        <f t="shared" si="15"/>
        <v>£m nominal</v>
      </c>
      <c r="AU71" s="96">
        <f ca="1">(1-AU69)*AU46</f>
        <v>0</v>
      </c>
      <c r="AV71" s="61">
        <f t="shared" ref="AV71:AY71" ca="1" si="16">(1-AV69)*AV46</f>
        <v>-20.177838309104118</v>
      </c>
      <c r="AW71" s="61">
        <f t="shared" ca="1" si="16"/>
        <v>-11.526855742094085</v>
      </c>
      <c r="AX71" s="61">
        <f t="shared" ca="1" si="16"/>
        <v>0</v>
      </c>
      <c r="AY71" s="61">
        <f t="shared" ca="1" si="16"/>
        <v>0</v>
      </c>
      <c r="BA71" s="44" t="str">
        <f t="shared" ca="1" si="4"/>
        <v>Tax</v>
      </c>
      <c r="BB71" s="1" t="str">
        <f>$A$67</f>
        <v>Tax allowance</v>
      </c>
      <c r="BC71" s="1" t="str">
        <f>$B$68</f>
        <v>Restriction on relief for carried forward losses</v>
      </c>
    </row>
    <row r="72" spans="1:55">
      <c r="BA72" s="44"/>
    </row>
    <row r="73" spans="1:55" ht="17.5" thickBot="1">
      <c r="B73" s="17" t="s">
        <v>218</v>
      </c>
      <c r="BA73" s="44"/>
    </row>
    <row r="74" spans="1:55" ht="16.5" thickTop="1">
      <c r="E74" t="s">
        <v>219</v>
      </c>
      <c r="G74" t="str">
        <f t="shared" ref="G74:G77" si="17">nominal</f>
        <v>£m nominal</v>
      </c>
      <c r="AU74" s="96">
        <f>AU$23*StartingBalance+AT77</f>
        <v>0</v>
      </c>
      <c r="AV74" s="61">
        <f ca="1">AV$23*StartingBalance+AU77</f>
        <v>0</v>
      </c>
      <c r="AW74" s="61">
        <f ca="1">AW$23*StartingBalance+AV77</f>
        <v>-20.177838309104118</v>
      </c>
      <c r="AX74" s="61">
        <f ca="1">AX$23*StartingBalance+AW77</f>
        <v>-31.704694051198203</v>
      </c>
      <c r="AY74" s="61">
        <f ca="1">AY$23*StartingBalance+AX77</f>
        <v>0</v>
      </c>
      <c r="BA74" s="44" t="str">
        <f t="shared" ca="1" si="4"/>
        <v>Tax</v>
      </c>
      <c r="BB74" s="1" t="str">
        <f>$A$67</f>
        <v>Tax allowance</v>
      </c>
      <c r="BC74" s="1" t="str">
        <f>$B$73</f>
        <v>Regulatory tax losses</v>
      </c>
    </row>
    <row r="75" spans="1:55">
      <c r="E75" t="s">
        <v>220</v>
      </c>
      <c r="G75" t="str">
        <f t="shared" si="17"/>
        <v>£m nominal</v>
      </c>
      <c r="AU75" s="96">
        <f ca="1">MIN(AU46,0)</f>
        <v>0</v>
      </c>
      <c r="AV75" s="61">
        <f t="shared" ref="AV75:AY75" ca="1" si="18">MIN(AV46,0)</f>
        <v>-20.177838309104118</v>
      </c>
      <c r="AW75" s="61">
        <f t="shared" ca="1" si="18"/>
        <v>-11.526855742094085</v>
      </c>
      <c r="AX75" s="61">
        <f t="shared" ca="1" si="18"/>
        <v>0</v>
      </c>
      <c r="AY75" s="61">
        <f t="shared" ca="1" si="18"/>
        <v>0</v>
      </c>
      <c r="BA75" s="44" t="str">
        <f t="shared" ca="1" si="4"/>
        <v>Tax</v>
      </c>
      <c r="BB75" s="1" t="str">
        <f t="shared" ref="BB75:BB77" si="19">$A$67</f>
        <v>Tax allowance</v>
      </c>
      <c r="BC75" s="1" t="str">
        <f t="shared" ref="BC75:BC77" si="20">$B$73</f>
        <v>Regulatory tax losses</v>
      </c>
    </row>
    <row r="76" spans="1:55">
      <c r="E76" t="s">
        <v>222</v>
      </c>
      <c r="G76" t="str">
        <f t="shared" si="17"/>
        <v>£m nominal</v>
      </c>
      <c r="AU76" s="96">
        <f ca="1">((AU46&gt;=0)*(MIN(AU70+AU71,-AU74,AU65)))</f>
        <v>0</v>
      </c>
      <c r="AV76" s="61">
        <f ca="1">((AV46&gt;=0)*(MIN(AV70+AV71,-AV74,AV65)))</f>
        <v>0</v>
      </c>
      <c r="AW76" s="61">
        <f ca="1">((AW46&gt;=0)*(MIN(AW70+AW71,-AW74,AW65)))</f>
        <v>0</v>
      </c>
      <c r="AX76" s="61">
        <f ca="1">((AX46&gt;=0)*(MIN(AX70+AX71,-AX74,AX65)))</f>
        <v>31.704694051198203</v>
      </c>
      <c r="AY76" s="61">
        <f ca="1">((AY46&gt;=0)*(MIN(AY70+AY71,-AY74,AY65)))</f>
        <v>0</v>
      </c>
      <c r="BA76" s="44" t="str">
        <f t="shared" ca="1" si="4"/>
        <v>Tax</v>
      </c>
      <c r="BB76" s="1" t="str">
        <f t="shared" si="19"/>
        <v>Tax allowance</v>
      </c>
      <c r="BC76" s="1" t="str">
        <f t="shared" si="20"/>
        <v>Regulatory tax losses</v>
      </c>
    </row>
    <row r="77" spans="1:55">
      <c r="E77" t="s">
        <v>153</v>
      </c>
      <c r="G77" t="str">
        <f t="shared" si="17"/>
        <v>£m nominal</v>
      </c>
      <c r="AU77" s="96">
        <f ca="1">SUM(AU74:AU76)</f>
        <v>0</v>
      </c>
      <c r="AV77" s="61">
        <f ca="1">SUM(AV74:AV76)</f>
        <v>-20.177838309104118</v>
      </c>
      <c r="AW77" s="61">
        <f ca="1">SUM(AW74:AW76)</f>
        <v>-31.704694051198203</v>
      </c>
      <c r="AX77" s="61">
        <f ca="1">SUM(AX74:AX76)</f>
        <v>0</v>
      </c>
      <c r="AY77" s="61">
        <f ca="1">SUM(AY74:AY76)</f>
        <v>0</v>
      </c>
      <c r="BA77" s="44" t="str">
        <f t="shared" ca="1" si="4"/>
        <v>Tax</v>
      </c>
      <c r="BB77" s="1" t="str">
        <f t="shared" si="19"/>
        <v>Tax allowance</v>
      </c>
      <c r="BC77" s="1" t="str">
        <f t="shared" si="20"/>
        <v>Regulatory tax losses</v>
      </c>
    </row>
    <row r="78" spans="1:55">
      <c r="BA78" s="44"/>
    </row>
    <row r="79" spans="1:55" ht="17.5" thickBot="1">
      <c r="B79" s="17" t="s">
        <v>131</v>
      </c>
      <c r="BA79" s="44"/>
    </row>
    <row r="80" spans="1:55" ht="16.5" thickTop="1">
      <c r="E80" t="s">
        <v>223</v>
      </c>
      <c r="G80" t="str">
        <f t="shared" ref="G80:G82" si="21">nominal</f>
        <v>£m nominal</v>
      </c>
      <c r="AU80" s="96">
        <f ca="1">MAX(AU65-AU76,0)</f>
        <v>74.200932502638352</v>
      </c>
      <c r="AV80" s="61">
        <f ca="1">MAX(AV65-AV76,0)</f>
        <v>0</v>
      </c>
      <c r="AW80" s="61">
        <f ca="1">MAX(AW65-AW76,0)</f>
        <v>0</v>
      </c>
      <c r="AX80" s="61">
        <f ca="1">MAX(AX65-AX76,0)</f>
        <v>146.31174989780334</v>
      </c>
      <c r="AY80" s="61">
        <f ca="1">MAX(AY65-AY76,0)</f>
        <v>245.36782965988573</v>
      </c>
      <c r="BA80" s="44" t="str">
        <f t="shared" ca="1" si="4"/>
        <v>Tax</v>
      </c>
      <c r="BB80" s="1" t="str">
        <f t="shared" ref="BB80:BB82" si="22">$A$67</f>
        <v>Tax allowance</v>
      </c>
      <c r="BC80" s="1" t="str">
        <f>$B$79</f>
        <v>Tax allowance</v>
      </c>
    </row>
    <row r="81" spans="1:55">
      <c r="E81" t="s">
        <v>193</v>
      </c>
      <c r="G81" t="str">
        <f t="shared" si="21"/>
        <v>£m nominal</v>
      </c>
      <c r="AU81" s="96">
        <f ca="1">AU80*AU7</f>
        <v>18.550233125659588</v>
      </c>
      <c r="AV81" s="61">
        <f ca="1">AV80*AV7</f>
        <v>0</v>
      </c>
      <c r="AW81" s="61">
        <f ca="1">AW80*AW7</f>
        <v>0</v>
      </c>
      <c r="AX81" s="61">
        <f ca="1">AX80*AX7</f>
        <v>36.577937474450835</v>
      </c>
      <c r="AY81" s="61">
        <f ca="1">AY80*AY7</f>
        <v>61.341957414971432</v>
      </c>
      <c r="BA81" s="44" t="str">
        <f t="shared" ca="1" si="4"/>
        <v>Tax</v>
      </c>
      <c r="BB81" s="1" t="str">
        <f t="shared" si="22"/>
        <v>Tax allowance</v>
      </c>
      <c r="BC81" s="1" t="str">
        <f t="shared" ref="BC81:BC82" si="23">$B$79</f>
        <v>Tax allowance</v>
      </c>
    </row>
    <row r="82" spans="1:55">
      <c r="E82" t="s">
        <v>224</v>
      </c>
      <c r="G82" t="str">
        <f t="shared" si="21"/>
        <v>£m nominal</v>
      </c>
      <c r="AU82" s="96">
        <f ca="1">AU81*AU27</f>
        <v>24.733644167546117</v>
      </c>
      <c r="AV82" s="61">
        <f ca="1">AV81*AV27</f>
        <v>0</v>
      </c>
      <c r="AW82" s="61">
        <f ca="1">AW81*AW27</f>
        <v>0</v>
      </c>
      <c r="AX82" s="61">
        <f ca="1">AX81*AX27</f>
        <v>48.770583299267777</v>
      </c>
      <c r="AY82" s="61">
        <f ca="1">AY81*AY27</f>
        <v>81.789276553295238</v>
      </c>
      <c r="BA82" s="44" t="str">
        <f t="shared" ca="1" si="4"/>
        <v>Tax</v>
      </c>
      <c r="BB82" s="1" t="str">
        <f t="shared" si="22"/>
        <v>Tax allowance</v>
      </c>
      <c r="BC82" s="1" t="str">
        <f t="shared" si="23"/>
        <v>Tax allowance</v>
      </c>
    </row>
    <row r="83" spans="1:55"/>
    <row r="84" spans="1:55">
      <c r="E84" t="s">
        <v>26</v>
      </c>
      <c r="G84" t="str">
        <f t="shared" ref="G84:G85" si="24">nominal</f>
        <v>£m nominal</v>
      </c>
      <c r="AU84" s="97">
        <f>AU24</f>
        <v>0</v>
      </c>
      <c r="AV84" s="38">
        <f>AV24</f>
        <v>0</v>
      </c>
      <c r="AW84" s="38">
        <f>AW24</f>
        <v>0</v>
      </c>
      <c r="AX84" s="38">
        <f>AX24</f>
        <v>0</v>
      </c>
      <c r="AY84" s="38">
        <f>AY24</f>
        <v>0</v>
      </c>
      <c r="BA84" s="44" t="str">
        <f t="shared" ca="1" si="4"/>
        <v>Tax</v>
      </c>
      <c r="BB84" s="1" t="str">
        <f t="shared" ref="BB84:BB85" si="25">$A$67</f>
        <v>Tax allowance</v>
      </c>
      <c r="BC84" s="1" t="str">
        <f t="shared" ref="BC84:BC85" si="26">$B$79</f>
        <v>Tax allowance</v>
      </c>
    </row>
    <row r="85" spans="1:55">
      <c r="E85" t="s">
        <v>192</v>
      </c>
      <c r="G85" t="str">
        <f t="shared" si="24"/>
        <v>£m nominal</v>
      </c>
      <c r="AU85" s="141">
        <f ca="1">SUM(AU82,AU84)</f>
        <v>24.733644167546117</v>
      </c>
      <c r="AV85" s="65">
        <f ca="1">SUM(AV82,AV84)</f>
        <v>0</v>
      </c>
      <c r="AW85" s="65">
        <f ca="1">SUM(AW82,AW84)</f>
        <v>0</v>
      </c>
      <c r="AX85" s="65">
        <f ca="1">SUM(AX82,AX84)</f>
        <v>48.770583299267777</v>
      </c>
      <c r="AY85" s="65">
        <f ca="1">SUM(AY82,AY84)</f>
        <v>81.789276553295238</v>
      </c>
      <c r="BA85" s="44" t="str">
        <f t="shared" ca="1" si="4"/>
        <v>Tax</v>
      </c>
      <c r="BB85" s="1" t="str">
        <f t="shared" si="25"/>
        <v>Tax allowance</v>
      </c>
      <c r="BC85" s="1" t="str">
        <f t="shared" si="26"/>
        <v>Tax allowance</v>
      </c>
    </row>
    <row r="86" spans="1:55">
      <c r="BA86" s="44"/>
    </row>
    <row r="87" spans="1:55" ht="20" thickBot="1">
      <c r="A87" s="15" t="s">
        <v>225</v>
      </c>
      <c r="BA87" s="44"/>
    </row>
    <row r="88" spans="1:55" ht="18" thickTop="1" thickBot="1">
      <c r="B88" s="17" t="s">
        <v>226</v>
      </c>
      <c r="BA88" s="44"/>
    </row>
    <row r="89" spans="1:55" ht="16.5" thickTop="1">
      <c r="E89" t="s">
        <v>227</v>
      </c>
      <c r="G89" t="str">
        <f>nominal</f>
        <v>£m nominal</v>
      </c>
      <c r="AU89" s="96">
        <f ca="1">SUM(AU47,AU85)</f>
        <v>98.93457667018447</v>
      </c>
      <c r="AV89" s="61">
        <f ca="1">SUM(AV47,AV85)</f>
        <v>-20.177838309104118</v>
      </c>
      <c r="AW89" s="61">
        <f ca="1">SUM(AW47,AW85)</f>
        <v>-11.526855742094085</v>
      </c>
      <c r="AX89" s="61">
        <f ca="1">SUM(AX47,AX85)</f>
        <v>226.78702724826931</v>
      </c>
      <c r="AY89" s="61">
        <f ca="1">SUM(AY47,AY85)</f>
        <v>327.15710621318095</v>
      </c>
      <c r="BA89" s="44" t="str">
        <f t="shared" ca="1" si="4"/>
        <v>Tax</v>
      </c>
      <c r="BB89" s="1" t="str">
        <f>$A$87</f>
        <v>Tax paid</v>
      </c>
      <c r="BC89" s="1" t="str">
        <f>$B$88</f>
        <v>Tax base</v>
      </c>
    </row>
    <row r="90" spans="1:55">
      <c r="E90" t="s">
        <v>546</v>
      </c>
      <c r="G90" t="str">
        <f>nominal</f>
        <v>£m nominal</v>
      </c>
      <c r="AU90" s="96">
        <f ca="1">SUM(AU89,AU62)</f>
        <v>98.93457667018447</v>
      </c>
      <c r="AV90" s="61">
        <f ca="1">SUM(AV89,AV62)</f>
        <v>-20.177838309104118</v>
      </c>
      <c r="AW90" s="61">
        <f ca="1">SUM(AW89,AW62)</f>
        <v>-11.526855742094085</v>
      </c>
      <c r="AX90" s="61">
        <f ca="1">SUM(AX89,AX62)</f>
        <v>226.78702724826931</v>
      </c>
      <c r="AY90" s="61">
        <f ca="1">SUM(AY89,AY62)</f>
        <v>327.15710621318095</v>
      </c>
      <c r="BA90" s="44" t="str">
        <f t="shared" ca="1" si="4"/>
        <v>Tax</v>
      </c>
      <c r="BB90" s="1" t="str">
        <f>$A$87</f>
        <v>Tax paid</v>
      </c>
      <c r="BC90" s="1" t="str">
        <f>$B$88</f>
        <v>Tax base</v>
      </c>
    </row>
    <row r="91" spans="1:55">
      <c r="AU91" s="171"/>
      <c r="BA91" s="44"/>
    </row>
    <row r="92" spans="1:55" ht="17.5" thickBot="1">
      <c r="B92" s="17" t="s">
        <v>310</v>
      </c>
      <c r="AU92" s="171"/>
      <c r="BA92" s="44"/>
    </row>
    <row r="93" spans="1:55" ht="16.5" thickTop="1">
      <c r="E93" t="s">
        <v>543</v>
      </c>
      <c r="G93" t="s">
        <v>783</v>
      </c>
      <c r="AU93" s="96" t="b">
        <f ca="1">AU89&gt;$I$21</f>
        <v>1</v>
      </c>
      <c r="AV93" s="61" t="b">
        <f ca="1">AV89&gt;$I$21</f>
        <v>0</v>
      </c>
      <c r="AW93" s="61" t="b">
        <f ca="1">AW89&gt;$I$21</f>
        <v>0</v>
      </c>
      <c r="AX93" s="61" t="b">
        <f ca="1">AX89&gt;$I$21</f>
        <v>1</v>
      </c>
      <c r="AY93" s="61" t="b">
        <f ca="1">AY89&gt;$I$21</f>
        <v>1</v>
      </c>
      <c r="BA93" s="44" t="str">
        <f t="shared" ca="1" si="4"/>
        <v>Tax</v>
      </c>
      <c r="BB93" s="1" t="str">
        <f>$A$87</f>
        <v>Tax paid</v>
      </c>
      <c r="BC93" s="1" t="str">
        <f>$B$92</f>
        <v>Restriction on relief for carried forward losses</v>
      </c>
    </row>
    <row r="94" spans="1:55">
      <c r="E94" t="s">
        <v>544</v>
      </c>
      <c r="G94" t="str">
        <f t="shared" ref="G94:G95" si="27">nominal</f>
        <v>£m nominal</v>
      </c>
      <c r="AU94" s="96">
        <f ca="1">AU93*($I$21+(AU89-$I$21)*$I$22)</f>
        <v>51.967288335092235</v>
      </c>
      <c r="AV94" s="61">
        <f ca="1">AV93*($I$21+(AV89-$I$21)*$I$22)</f>
        <v>0</v>
      </c>
      <c r="AW94" s="61">
        <f ca="1">AW93*($I$21+(AW89-$I$21)*$I$22)</f>
        <v>0</v>
      </c>
      <c r="AX94" s="61">
        <f ca="1">AX93*($I$21+(AX89-$I$21)*$I$22)</f>
        <v>115.89351362413466</v>
      </c>
      <c r="AY94" s="61">
        <f ca="1">AY93*($I$21+(AY89-$I$21)*$I$22)</f>
        <v>166.07855310659048</v>
      </c>
      <c r="BA94" s="44" t="str">
        <f t="shared" ca="1" si="4"/>
        <v>Tax</v>
      </c>
      <c r="BB94" s="1" t="str">
        <f>$A$87</f>
        <v>Tax paid</v>
      </c>
      <c r="BC94" s="1" t="str">
        <f>$B$92</f>
        <v>Restriction on relief for carried forward losses</v>
      </c>
    </row>
    <row r="95" spans="1:55">
      <c r="E95" t="s">
        <v>545</v>
      </c>
      <c r="G95" t="str">
        <f t="shared" si="27"/>
        <v>£m nominal</v>
      </c>
      <c r="AU95" s="96">
        <f ca="1">(1-AU93)*AU89</f>
        <v>0</v>
      </c>
      <c r="AV95" s="61">
        <f t="shared" ref="AV95:AY95" ca="1" si="28">(1-AV93)*AV89</f>
        <v>-20.177838309104118</v>
      </c>
      <c r="AW95" s="61">
        <f t="shared" ca="1" si="28"/>
        <v>-11.526855742094085</v>
      </c>
      <c r="AX95" s="61">
        <f t="shared" ca="1" si="28"/>
        <v>0</v>
      </c>
      <c r="AY95" s="61">
        <f t="shared" ca="1" si="28"/>
        <v>0</v>
      </c>
      <c r="BA95" s="44" t="str">
        <f t="shared" ca="1" si="4"/>
        <v>Tax</v>
      </c>
      <c r="BB95" s="1" t="str">
        <f>$A$87</f>
        <v>Tax paid</v>
      </c>
      <c r="BC95" s="1" t="str">
        <f>$B$92</f>
        <v>Restriction on relief for carried forward losses</v>
      </c>
    </row>
    <row r="96" spans="1:55">
      <c r="BA96" s="44"/>
    </row>
    <row r="97" spans="1:55" ht="17.5" thickBot="1">
      <c r="B97" s="17" t="s">
        <v>228</v>
      </c>
      <c r="BA97" s="44"/>
    </row>
    <row r="98" spans="1:55" ht="16.5" thickTop="1">
      <c r="E98" t="s">
        <v>219</v>
      </c>
      <c r="G98" t="str">
        <f t="shared" ref="G98:G101" si="29">nominal</f>
        <v>£m nominal</v>
      </c>
      <c r="AU98" s="96">
        <f>AU$23*StartingBalance+AT101</f>
        <v>0</v>
      </c>
      <c r="AV98" s="61">
        <f ca="1">AV$23*StartingBalance+AU101</f>
        <v>0</v>
      </c>
      <c r="AW98" s="61">
        <f ca="1">AW$23*StartingBalance+AV101</f>
        <v>-20.177838309104118</v>
      </c>
      <c r="AX98" s="61">
        <f ca="1">AX$23*StartingBalance+AW101</f>
        <v>-31.704694051198203</v>
      </c>
      <c r="AY98" s="61">
        <f ca="1">AY$23*StartingBalance+AX101</f>
        <v>0</v>
      </c>
      <c r="BA98" s="44" t="str">
        <f t="shared" ref="BA98:BA105" ca="1" si="30">$A$1</f>
        <v>Tax</v>
      </c>
      <c r="BB98" s="1" t="str">
        <f t="shared" ref="BB98:BB101" si="31">$A$87</f>
        <v>Tax paid</v>
      </c>
      <c r="BC98" s="1" t="str">
        <f>$B$97</f>
        <v>Tax losses</v>
      </c>
    </row>
    <row r="99" spans="1:55">
      <c r="E99" t="s">
        <v>220</v>
      </c>
      <c r="G99" t="str">
        <f t="shared" si="29"/>
        <v>£m nominal</v>
      </c>
      <c r="AU99" s="96">
        <f ca="1">MIN(AU89,0)</f>
        <v>0</v>
      </c>
      <c r="AV99" s="61">
        <f t="shared" ref="AV99:AY99" ca="1" si="32">MIN(AV89,0)</f>
        <v>-20.177838309104118</v>
      </c>
      <c r="AW99" s="61">
        <f t="shared" ca="1" si="32"/>
        <v>-11.526855742094085</v>
      </c>
      <c r="AX99" s="61">
        <f t="shared" ca="1" si="32"/>
        <v>0</v>
      </c>
      <c r="AY99" s="61">
        <f t="shared" ca="1" si="32"/>
        <v>0</v>
      </c>
      <c r="BA99" s="44" t="str">
        <f t="shared" ca="1" si="30"/>
        <v>Tax</v>
      </c>
      <c r="BB99" s="1" t="str">
        <f t="shared" si="31"/>
        <v>Tax paid</v>
      </c>
      <c r="BC99" s="1" t="str">
        <f t="shared" ref="BC99:BC101" si="33">$B$97</f>
        <v>Tax losses</v>
      </c>
    </row>
    <row r="100" spans="1:55">
      <c r="E100" t="s">
        <v>222</v>
      </c>
      <c r="G100" t="str">
        <f t="shared" si="29"/>
        <v>£m nominal</v>
      </c>
      <c r="AU100" s="96">
        <f ca="1">((AU89&gt;=0)*(MIN(AU94+AU95,-AU98,AU90)))</f>
        <v>0</v>
      </c>
      <c r="AV100" s="61">
        <f ca="1">((AV89&gt;=0)*(MIN(AV94+AV95,-AV98,AV90)))</f>
        <v>0</v>
      </c>
      <c r="AW100" s="61">
        <f ca="1">((AW89&gt;=0)*(MIN(AW94+AW95,-AW98,AW90)))</f>
        <v>0</v>
      </c>
      <c r="AX100" s="61">
        <f ca="1">((AX89&gt;=0)*(MIN(AX94+AX95,-AX98,AX90)))</f>
        <v>31.704694051198203</v>
      </c>
      <c r="AY100" s="61">
        <f ca="1">((AY89&gt;=0)*(MIN(AY94+AY95,-AY98,AY90)))</f>
        <v>0</v>
      </c>
      <c r="BA100" s="44" t="str">
        <f t="shared" ca="1" si="30"/>
        <v>Tax</v>
      </c>
      <c r="BB100" s="1" t="str">
        <f t="shared" si="31"/>
        <v>Tax paid</v>
      </c>
      <c r="BC100" s="1" t="str">
        <f t="shared" si="33"/>
        <v>Tax losses</v>
      </c>
    </row>
    <row r="101" spans="1:55">
      <c r="E101" t="s">
        <v>153</v>
      </c>
      <c r="G101" t="str">
        <f t="shared" si="29"/>
        <v>£m nominal</v>
      </c>
      <c r="AU101" s="96">
        <f ca="1">SUM(AU98:AU100)</f>
        <v>0</v>
      </c>
      <c r="AV101" s="61">
        <f ca="1">SUM(AV98:AV100)</f>
        <v>-20.177838309104118</v>
      </c>
      <c r="AW101" s="61">
        <f ca="1">SUM(AW98:AW100)</f>
        <v>-31.704694051198203</v>
      </c>
      <c r="AX101" s="61">
        <f ca="1">SUM(AX98:AX100)</f>
        <v>0</v>
      </c>
      <c r="AY101" s="61">
        <f ca="1">SUM(AY98:AY100)</f>
        <v>0</v>
      </c>
      <c r="BA101" s="44" t="str">
        <f t="shared" ca="1" si="30"/>
        <v>Tax</v>
      </c>
      <c r="BB101" s="1" t="str">
        <f t="shared" si="31"/>
        <v>Tax paid</v>
      </c>
      <c r="BC101" s="1" t="str">
        <f t="shared" si="33"/>
        <v>Tax losses</v>
      </c>
    </row>
    <row r="102" spans="1:55">
      <c r="BA102" s="44"/>
    </row>
    <row r="103" spans="1:55" ht="17.5" thickBot="1">
      <c r="B103" s="17" t="s">
        <v>225</v>
      </c>
      <c r="BA103" s="44"/>
    </row>
    <row r="104" spans="1:55" ht="16.5" thickTop="1">
      <c r="E104" t="s">
        <v>223</v>
      </c>
      <c r="G104" t="str">
        <f t="shared" ref="G104:G105" si="34">nominal</f>
        <v>£m nominal</v>
      </c>
      <c r="AU104" s="96">
        <f ca="1">MAX(AU90-AU100,0)</f>
        <v>98.93457667018447</v>
      </c>
      <c r="AV104" s="61">
        <f ca="1">MAX(AV90-AV100,0)</f>
        <v>0</v>
      </c>
      <c r="AW104" s="61">
        <f ca="1">MAX(AW90-AW100,0)</f>
        <v>0</v>
      </c>
      <c r="AX104" s="61">
        <f ca="1">MAX(AX90-AX100,0)</f>
        <v>195.08233319707111</v>
      </c>
      <c r="AY104" s="61">
        <f ca="1">MAX(AY90-AY100,0)</f>
        <v>327.15710621318095</v>
      </c>
      <c r="BA104" s="44" t="str">
        <f t="shared" ca="1" si="30"/>
        <v>Tax</v>
      </c>
      <c r="BB104" s="1" t="str">
        <f t="shared" ref="BB104:BB105" si="35">$A$87</f>
        <v>Tax paid</v>
      </c>
      <c r="BC104" s="1" t="str">
        <f>$B$103</f>
        <v>Tax paid</v>
      </c>
    </row>
    <row r="105" spans="1:55">
      <c r="E105" t="s">
        <v>193</v>
      </c>
      <c r="G105" t="str">
        <f t="shared" si="34"/>
        <v>£m nominal</v>
      </c>
      <c r="AU105" s="96">
        <f ca="1">AU104*AU7</f>
        <v>24.733644167546117</v>
      </c>
      <c r="AV105" s="61">
        <f ca="1">AV104*AV7</f>
        <v>0</v>
      </c>
      <c r="AW105" s="61">
        <f ca="1">AW104*AW7</f>
        <v>0</v>
      </c>
      <c r="AX105" s="61">
        <f ca="1">AX104*AX7</f>
        <v>48.770583299267777</v>
      </c>
      <c r="AY105" s="61">
        <f ca="1">AY104*AY7</f>
        <v>81.789276553295238</v>
      </c>
      <c r="BA105" s="44" t="str">
        <f t="shared" ca="1" si="30"/>
        <v>Tax</v>
      </c>
      <c r="BB105" s="1" t="str">
        <f t="shared" si="35"/>
        <v>Tax paid</v>
      </c>
      <c r="BC105" s="1" t="str">
        <f>$B$103</f>
        <v>Tax paid</v>
      </c>
    </row>
    <row r="106" spans="1:55"/>
    <row r="107" spans="1:55" ht="20" thickBot="1">
      <c r="A107" s="15" t="s">
        <v>241</v>
      </c>
    </row>
    <row r="108" spans="1:55" ht="16.5" thickTop="1"/>
    <row r="109" spans="1:55"/>
  </sheetData>
  <conditionalFormatting sqref="H1">
    <cfRule type="cellIs" dxfId="8" priority="1" operator="equal">
      <formula>"ERROR"</formula>
    </cfRule>
  </conditionalFormatting>
  <pageMargins left="0.7" right="0.7" top="0.75" bottom="0.75" header="0.3" footer="0.3"/>
  <pageSetup paperSize="9" orientation="portrait" r:id="rId1"/>
  <headerFooter>
    <oddFooter>&amp;L_x000D_&amp;1#&amp;"Aptos"&amp;10&amp;K000000 National Gas | Business Use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BE6BC-161A-494E-88AB-2CDC876D732F}">
  <sheetPr codeName="Sheet18">
    <tabColor rgb="FFBAA0CC"/>
    <pageSetUpPr autoPageBreaks="0"/>
  </sheetPr>
  <dimension ref="A1:BG335"/>
  <sheetViews>
    <sheetView workbookViewId="0">
      <pane xSplit="10" ySplit="4" topLeftCell="K5" activePane="bottomRight" state="frozen"/>
      <selection pane="topRight" activeCell="K1" sqref="K1"/>
      <selection pane="bottomLeft" activeCell="A5" sqref="A5"/>
      <selection pane="bottomRight"/>
    </sheetView>
  </sheetViews>
  <sheetFormatPr defaultColWidth="0" defaultRowHeight="16" zeroHeight="1" outlineLevelRow="1" outlineLevelCol="1"/>
  <cols>
    <col min="1" max="3" width="1.81640625" customWidth="1"/>
    <col min="4" max="4" width="15.7265625" customWidth="1"/>
    <col min="5" max="5" width="77.26953125" customWidth="1"/>
    <col min="6" max="6" width="8.7265625" customWidth="1"/>
    <col min="7" max="7" width="17.7265625" customWidth="1"/>
    <col min="8" max="8" width="9.7265625" customWidth="1"/>
    <col min="9" max="9" width="11.7265625" customWidth="1"/>
    <col min="10" max="10" width="2.08984375" customWidth="1"/>
    <col min="11" max="45" width="11.7265625" hidden="1" customWidth="1" outlineLevel="1"/>
    <col min="46" max="46" width="11.7265625" style="77" customWidth="1" collapsed="1"/>
    <col min="47" max="52" width="11.7265625" customWidth="1"/>
    <col min="53" max="56" width="10.7265625" style="1" customWidth="1"/>
    <col min="57" max="57" width="10.7265625" customWidth="1"/>
    <col min="58" max="58" width="1.7265625" style="8" customWidth="1"/>
    <col min="59" max="59" width="12.08984375" style="8" hidden="1" customWidth="1"/>
  </cols>
  <sheetData>
    <row r="1" spans="1:56" s="119" customFormat="1" ht="14.5">
      <c r="A1" s="118" t="str" cm="1">
        <f t="array" aca="1" ref="A1" ca="1">MID(CELL("filename",$A$1),FIND("]",CELL("filename",$A$1))+1,255)</f>
        <v>Calculations_SO</v>
      </c>
      <c r="G1" s="119" t="s">
        <v>515</v>
      </c>
      <c r="H1" s="38" t="str">
        <f ca="1">Checks!I7</f>
        <v>ERROR</v>
      </c>
      <c r="AT1" s="124"/>
    </row>
    <row r="2" spans="1:56" s="119" customFormat="1" ht="15" customHeight="1">
      <c r="AT2" s="124"/>
    </row>
    <row r="3" spans="1:56" s="119" customFormat="1" ht="15" customHeight="1">
      <c r="E3" s="119" t="s">
        <v>0</v>
      </c>
      <c r="F3" s="119" t="s">
        <v>1</v>
      </c>
      <c r="G3" s="119" t="s">
        <v>2</v>
      </c>
      <c r="H3" s="119" t="s">
        <v>3</v>
      </c>
      <c r="I3" s="119" t="str">
        <f>NGT_TO!I3</f>
        <v>Constant</v>
      </c>
      <c r="AT3" s="124"/>
      <c r="AU3" s="122" t="str">
        <f>NGT_TO!AU3</f>
        <v>Annual values</v>
      </c>
    </row>
    <row r="4" spans="1:56" s="119" customFormat="1" ht="15" customHeight="1">
      <c r="D4" s="121" t="s">
        <v>421</v>
      </c>
      <c r="E4" s="119" t="s">
        <v>6</v>
      </c>
      <c r="K4" s="122">
        <f>NGT_TO!K4</f>
        <v>33328</v>
      </c>
      <c r="L4" s="122">
        <f>NGT_TO!L4</f>
        <v>33694</v>
      </c>
      <c r="M4" s="122">
        <f>NGT_TO!M4</f>
        <v>34059</v>
      </c>
      <c r="N4" s="122">
        <f>NGT_TO!N4</f>
        <v>34424</v>
      </c>
      <c r="O4" s="122">
        <f>NGT_TO!O4</f>
        <v>34789</v>
      </c>
      <c r="P4" s="122">
        <f>NGT_TO!P4</f>
        <v>35155</v>
      </c>
      <c r="Q4" s="122">
        <f>NGT_TO!Q4</f>
        <v>35520</v>
      </c>
      <c r="R4" s="122">
        <f>NGT_TO!R4</f>
        <v>35885</v>
      </c>
      <c r="S4" s="122">
        <f>NGT_TO!S4</f>
        <v>36250</v>
      </c>
      <c r="T4" s="122">
        <f>NGT_TO!T4</f>
        <v>36616</v>
      </c>
      <c r="U4" s="122">
        <f>NGT_TO!U4</f>
        <v>36981</v>
      </c>
      <c r="V4" s="122">
        <f>NGT_TO!V4</f>
        <v>37346</v>
      </c>
      <c r="W4" s="122">
        <f>NGT_TO!W4</f>
        <v>37711</v>
      </c>
      <c r="X4" s="122">
        <f>NGT_TO!X4</f>
        <v>38077</v>
      </c>
      <c r="Y4" s="122">
        <f>NGT_TO!Y4</f>
        <v>38442</v>
      </c>
      <c r="Z4" s="122">
        <f>NGT_TO!Z4</f>
        <v>38807</v>
      </c>
      <c r="AA4" s="122">
        <f>NGT_TO!AA4</f>
        <v>39172</v>
      </c>
      <c r="AB4" s="122">
        <f>NGT_TO!AB4</f>
        <v>39538</v>
      </c>
      <c r="AC4" s="122">
        <f>NGT_TO!AC4</f>
        <v>39903</v>
      </c>
      <c r="AD4" s="122">
        <f>NGT_TO!AD4</f>
        <v>40268</v>
      </c>
      <c r="AE4" s="122">
        <f>NGT_TO!AE4</f>
        <v>40633</v>
      </c>
      <c r="AF4" s="122">
        <f>NGT_TO!AF4</f>
        <v>40999</v>
      </c>
      <c r="AG4" s="122">
        <f>NGT_TO!AG4</f>
        <v>41364</v>
      </c>
      <c r="AH4" s="122">
        <f>NGT_TO!AH4</f>
        <v>41729</v>
      </c>
      <c r="AI4" s="122">
        <f>NGT_TO!AI4</f>
        <v>42094</v>
      </c>
      <c r="AJ4" s="122">
        <f>NGT_TO!AJ4</f>
        <v>42460</v>
      </c>
      <c r="AK4" s="122">
        <f>NGT_TO!AK4</f>
        <v>42825</v>
      </c>
      <c r="AL4" s="122">
        <f>NGT_TO!AL4</f>
        <v>43190</v>
      </c>
      <c r="AM4" s="122">
        <f>NGT_TO!AM4</f>
        <v>43555</v>
      </c>
      <c r="AN4" s="122">
        <f>NGT_TO!AN4</f>
        <v>43921</v>
      </c>
      <c r="AO4" s="122">
        <f>NGT_TO!AO4</f>
        <v>44286</v>
      </c>
      <c r="AP4" s="122">
        <f>NGT_TO!AP4</f>
        <v>44651</v>
      </c>
      <c r="AQ4" s="122">
        <f>NGT_TO!AQ4</f>
        <v>45016</v>
      </c>
      <c r="AR4" s="122">
        <f>NGT_TO!AR4</f>
        <v>45382</v>
      </c>
      <c r="AS4" s="122">
        <f>NGT_TO!AS4</f>
        <v>45747</v>
      </c>
      <c r="AT4" s="123">
        <f>NGT_TO!AT4</f>
        <v>46112</v>
      </c>
      <c r="AU4" s="122">
        <f>NGT_TO!AU4</f>
        <v>46477</v>
      </c>
      <c r="AV4" s="122">
        <f>NGT_TO!AV4</f>
        <v>46843</v>
      </c>
      <c r="AW4" s="122">
        <f>NGT_TO!AW4</f>
        <v>47208</v>
      </c>
      <c r="AX4" s="122">
        <f>NGT_TO!AX4</f>
        <v>47573</v>
      </c>
      <c r="AY4" s="122">
        <f>NGT_TO!AY4</f>
        <v>47938</v>
      </c>
      <c r="BA4" s="127" t="s">
        <v>527</v>
      </c>
      <c r="BB4" s="127" t="s">
        <v>528</v>
      </c>
      <c r="BC4" s="127" t="s">
        <v>529</v>
      </c>
      <c r="BD4" s="127" t="s">
        <v>530</v>
      </c>
    </row>
    <row r="5" spans="1:56"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  <c r="AL5" s="68"/>
      <c r="AM5" s="68"/>
      <c r="AN5" s="68"/>
      <c r="AO5" s="68"/>
      <c r="AP5" s="68"/>
      <c r="AQ5" s="68"/>
      <c r="AR5" s="68"/>
      <c r="AS5" s="68"/>
      <c r="AT5" s="98"/>
      <c r="AU5" s="68"/>
      <c r="AV5" s="68"/>
      <c r="AW5" s="68"/>
      <c r="AX5" s="68"/>
      <c r="AY5" s="68"/>
    </row>
    <row r="6" spans="1:56" ht="20" thickBot="1">
      <c r="A6" s="15" t="s">
        <v>147</v>
      </c>
    </row>
    <row r="7" spans="1:56" ht="18" thickTop="1" thickBot="1">
      <c r="B7" s="17" t="s">
        <v>400</v>
      </c>
    </row>
    <row r="8" spans="1:56" ht="16.5" outlineLevel="1" thickTop="1">
      <c r="D8" s="1" t="str" cm="1">
        <f t="array" aca="1" ref="D8" ca="1">IFERROR(MID(_xlfn.FORMULATEXT(I8),FIND("=",_xlfn.FORMULATEXT(I8))+1,FIND("!",_xlfn.FORMULATEXT(I8))-2),MID(_xlfn.FORMULATEXT(INDEX(L8:AV8,MATCH(FALSE,ISBLANK(L8:AV8),0))),FIND("=",_xlfn.FORMULATEXT(INDEX(L8:AV8,MATCH(FALSE,ISBLANK(L8:AV8),0))))+1,FIND("!",_xlfn.FORMULATEXT(INDEX(L8:AV8,MATCH(FALSE,ISBLANK(L8:AV8),0))))-2))</f>
        <v>Transform_SO</v>
      </c>
      <c r="E8" t="s">
        <v>264</v>
      </c>
      <c r="G8" t="str">
        <f>Transform_SO!G16</f>
        <v>£m 23/24 prices</v>
      </c>
      <c r="AU8" s="95">
        <f>Transform_SO!AU16</f>
        <v>40.149137847810941</v>
      </c>
      <c r="AV8" s="69">
        <f>Transform_SO!AV16</f>
        <v>43.414385662892577</v>
      </c>
      <c r="AW8" s="69">
        <f>Transform_SO!AW16</f>
        <v>29.974076298077016</v>
      </c>
      <c r="AX8" s="69">
        <f>Transform_SO!AX16</f>
        <v>32.00605888376915</v>
      </c>
      <c r="AY8" s="69">
        <f>Transform_SO!AY16</f>
        <v>27.498601518036935</v>
      </c>
    </row>
    <row r="9" spans="1:56" outlineLevel="1">
      <c r="D9" s="1" t="str" cm="1">
        <f t="array" aca="1" ref="D9" ca="1">IFERROR(MID(_xlfn.FORMULATEXT(I9),FIND("=",_xlfn.FORMULATEXT(I9))+1,FIND("!",_xlfn.FORMULATEXT(I9))-2),MID(_xlfn.FORMULATEXT(INDEX(L9:AV9,MATCH(FALSE,ISBLANK(L9:AV9),0))),FIND("=",_xlfn.FORMULATEXT(INDEX(L9:AV9,MATCH(FALSE,ISBLANK(L9:AV9),0))))+1,FIND("!",_xlfn.FORMULATEXT(INDEX(L9:AV9,MATCH(FALSE,ISBLANK(L9:AV9),0))))-2))</f>
        <v>VariantAllowances</v>
      </c>
      <c r="E9" t="s">
        <v>645</v>
      </c>
      <c r="G9" t="str">
        <f>VariantAllowances!G780</f>
        <v>£m 23/24 prices</v>
      </c>
      <c r="AU9" s="95">
        <f>VariantAllowances!AU780</f>
        <v>11.774234554344527</v>
      </c>
      <c r="AV9" s="69">
        <f>VariantAllowances!AV780</f>
        <v>18.158234262904447</v>
      </c>
      <c r="AW9" s="69">
        <f>VariantAllowances!AW780</f>
        <v>25.300702567516474</v>
      </c>
      <c r="AX9" s="69">
        <f>VariantAllowances!AX780</f>
        <v>10.11291088360813</v>
      </c>
      <c r="AY9" s="69">
        <f>VariantAllowances!AY780</f>
        <v>4.4699373888299601</v>
      </c>
    </row>
    <row r="10" spans="1:56" outlineLevel="1">
      <c r="D10" s="1" t="str" cm="1">
        <f t="array" aca="1" ref="D10" ca="1">IFERROR(MID(_xlfn.FORMULATEXT(I10),FIND("=",_xlfn.FORMULATEXT(I10))+1,FIND("!",_xlfn.FORMULATEXT(I10))-2),MID(_xlfn.FORMULATEXT(INDEX(L10:AV10,MATCH(FALSE,ISBLANK(L10:AV10),0))),FIND("=",_xlfn.FORMULATEXT(INDEX(L10:AV10,MATCH(FALSE,ISBLANK(L10:AV10),0))))+1,FIND("!",_xlfn.FORMULATEXT(INDEX(L10:AV10,MATCH(FALSE,ISBLANK(L10:AV10),0))))-2))</f>
        <v>Transform_SO</v>
      </c>
      <c r="E10" t="s">
        <v>278</v>
      </c>
      <c r="G10" t="str">
        <f>Transform_SO!G17</f>
        <v>£m 23/24 prices</v>
      </c>
      <c r="AU10" s="95">
        <f>Transform_SO!AU17</f>
        <v>71.749390288379658</v>
      </c>
      <c r="AV10" s="69">
        <f>Transform_SO!AV17</f>
        <v>72.194039207266258</v>
      </c>
      <c r="AW10" s="69">
        <f>Transform_SO!AW17</f>
        <v>72.412134865315409</v>
      </c>
      <c r="AX10" s="69">
        <f>Transform_SO!AX17</f>
        <v>71.192254472383922</v>
      </c>
      <c r="AY10" s="69">
        <f>Transform_SO!AY17</f>
        <v>70.519992226866549</v>
      </c>
    </row>
    <row r="11" spans="1:56" outlineLevel="1">
      <c r="D11" s="1" t="str" cm="1">
        <f t="array" aca="1" ref="D11" ca="1">IFERROR(MID(_xlfn.FORMULATEXT(I11),FIND("=",_xlfn.FORMULATEXT(I11))+1,FIND("!",_xlfn.FORMULATEXT(I11))-2),MID(_xlfn.FORMULATEXT(INDEX(L11:AV11,MATCH(FALSE,ISBLANK(L11:AV11),0))),FIND("=",_xlfn.FORMULATEXT(INDEX(L11:AV11,MATCH(FALSE,ISBLANK(L11:AV11),0))))+1,FIND("!",_xlfn.FORMULATEXT(INDEX(L11:AV11,MATCH(FALSE,ISBLANK(L11:AV11),0))))-2))</f>
        <v>VariantAllowances</v>
      </c>
      <c r="E11" t="s">
        <v>646</v>
      </c>
      <c r="G11" t="str">
        <f>VariantAllowances!G781</f>
        <v>£m 23/24 prices</v>
      </c>
      <c r="AU11" s="95">
        <f>VariantAllowances!AU781</f>
        <v>6.839904770176136</v>
      </c>
      <c r="AV11" s="69">
        <f>VariantAllowances!AV781</f>
        <v>6.1449974641415546</v>
      </c>
      <c r="AW11" s="69">
        <f>VariantAllowances!AW781</f>
        <v>6.4121813650404453</v>
      </c>
      <c r="AX11" s="69">
        <f>VariantAllowances!AX781</f>
        <v>7.0427755100121985</v>
      </c>
      <c r="AY11" s="69">
        <f>VariantAllowances!AY781</f>
        <v>5.6059897571487056</v>
      </c>
    </row>
    <row r="12" spans="1:56" outlineLevel="1">
      <c r="D12" s="1" t="str" cm="1">
        <f t="array" aca="1" ref="D12" ca="1">IFERROR(MID(_xlfn.FORMULATEXT(I12),FIND("=",_xlfn.FORMULATEXT(I12))+1,FIND("!",_xlfn.FORMULATEXT(I12))-2),MID(_xlfn.FORMULATEXT(INDEX(L12:AV12,MATCH(FALSE,ISBLANK(L12:AV12),0))),FIND("=",_xlfn.FORMULATEXT(INDEX(L12:AV12,MATCH(FALSE,ISBLANK(L12:AV12),0))))+1,FIND("!",_xlfn.FORMULATEXT(INDEX(L12:AV12,MATCH(FALSE,ISBLANK(L12:AV12),0))))-2))</f>
        <v>Transform_SO</v>
      </c>
      <c r="E12" t="s">
        <v>302</v>
      </c>
      <c r="G12" t="s">
        <v>783</v>
      </c>
      <c r="AU12" s="140" t="b">
        <f>Transform_SO!AU7</f>
        <v>0</v>
      </c>
      <c r="AV12" s="27" t="b">
        <f>Transform_SO!AV7</f>
        <v>0</v>
      </c>
      <c r="AW12" s="27" t="b">
        <f>Transform_SO!AW7</f>
        <v>0</v>
      </c>
      <c r="AX12" s="27" t="b">
        <f>Transform_SO!AX7</f>
        <v>0</v>
      </c>
      <c r="AY12" s="27" t="b">
        <f>Transform_SO!AY7</f>
        <v>0</v>
      </c>
    </row>
    <row r="13" spans="1:56" outlineLevel="1">
      <c r="D13" s="1" t="str" cm="1">
        <f t="array" aca="1" ref="D13" ca="1">IFERROR(MID(_xlfn.FORMULATEXT(I13),FIND("=",_xlfn.FORMULATEXT(I13))+1,FIND("!",_xlfn.FORMULATEXT(I13))-2),MID(_xlfn.FORMULATEXT(INDEX(L13:AV13,MATCH(FALSE,ISBLANK(L13:AV13),0))),FIND("=",_xlfn.FORMULATEXT(INDEX(L13:AV13,MATCH(FALSE,ISBLANK(L13:AV13),0))))+1,FIND("!",_xlfn.FORMULATEXT(INDEX(L13:AV13,MATCH(FALSE,ISBLANK(L13:AV13),0))))-2))</f>
        <v>Transform_SO</v>
      </c>
      <c r="E13" t="s">
        <v>556</v>
      </c>
      <c r="G13" t="s">
        <v>783</v>
      </c>
      <c r="AU13" s="140" t="b">
        <f>Transform_SO!AU8</f>
        <v>1</v>
      </c>
      <c r="AV13" s="27" t="b">
        <f>Transform_SO!AV8</f>
        <v>1</v>
      </c>
      <c r="AW13" s="27" t="b">
        <f>Transform_SO!AW8</f>
        <v>1</v>
      </c>
      <c r="AX13" s="27" t="b">
        <f>Transform_SO!AX8</f>
        <v>1</v>
      </c>
      <c r="AY13" s="27" t="b">
        <f>Transform_SO!AY8</f>
        <v>1</v>
      </c>
    </row>
    <row r="14" spans="1:56" outlineLevel="1">
      <c r="D14" s="1" t="str" cm="1">
        <f t="array" aca="1" ref="D14" ca="1">IFERROR(MID(_xlfn.FORMULATEXT(I14),FIND("=",_xlfn.FORMULATEXT(I14))+1,FIND("!",_xlfn.FORMULATEXT(I14))-2),MID(_xlfn.FORMULATEXT(INDEX(L14:AV14,MATCH(FALSE,ISBLANK(L14:AV14),0))),FIND("=",_xlfn.FORMULATEXT(INDEX(L14:AV14,MATCH(FALSE,ISBLANK(L14:AV14),0))))+1,FIND("!",_xlfn.FORMULATEXT(INDEX(L14:AV14,MATCH(FALSE,ISBLANK(L14:AV14),0))))-2))</f>
        <v>Transform_SO</v>
      </c>
      <c r="E14" t="s">
        <v>248</v>
      </c>
      <c r="G14" t="str">
        <f>Transform_SO!G11</f>
        <v>£m 23/24 prices</v>
      </c>
      <c r="AU14" s="95">
        <f>Transform_SO!AU11</f>
        <v>0</v>
      </c>
      <c r="AV14" s="69">
        <f>Transform_SO!AV11</f>
        <v>0</v>
      </c>
      <c r="AW14" s="69">
        <f>Transform_SO!AW11</f>
        <v>0</v>
      </c>
      <c r="AX14" s="69">
        <f>Transform_SO!AX11</f>
        <v>0</v>
      </c>
      <c r="AY14" s="69">
        <f>Transform_SO!AY11</f>
        <v>0</v>
      </c>
      <c r="BA14" s="44"/>
    </row>
    <row r="15" spans="1:56" outlineLevel="1">
      <c r="D15" s="1" t="str" cm="1">
        <f t="array" aca="1" ref="D15" ca="1">IFERROR(MID(_xlfn.FORMULATEXT(I15),FIND("=",_xlfn.FORMULATEXT(I15))+1,FIND("!",_xlfn.FORMULATEXT(I15))-2),MID(_xlfn.FORMULATEXT(INDEX(L15:AV15,MATCH(FALSE,ISBLANK(L15:AV15),0))),FIND("=",_xlfn.FORMULATEXT(INDEX(L15:AV15,MATCH(FALSE,ISBLANK(L15:AV15),0))))+1,FIND("!",_xlfn.FORMULATEXT(INDEX(L15:AV15,MATCH(FALSE,ISBLANK(L15:AV15),0))))-2))</f>
        <v>Transform_SO</v>
      </c>
      <c r="E15" t="s">
        <v>283</v>
      </c>
      <c r="G15" t="str">
        <f>Transform_SO!G12</f>
        <v>£m 23/24 prices</v>
      </c>
      <c r="AU15" s="95">
        <f>Transform_SO!AU12</f>
        <v>0</v>
      </c>
      <c r="AV15" s="69">
        <f>Transform_SO!AV12</f>
        <v>0</v>
      </c>
      <c r="AW15" s="69">
        <f>Transform_SO!AW12</f>
        <v>0</v>
      </c>
      <c r="AX15" s="69">
        <f>Transform_SO!AX12</f>
        <v>0</v>
      </c>
      <c r="AY15" s="69">
        <f>Transform_SO!AY12</f>
        <v>0</v>
      </c>
      <c r="BA15" s="44"/>
    </row>
    <row r="16" spans="1:56">
      <c r="D16" s="1"/>
    </row>
    <row r="18" spans="1:55">
      <c r="BA18" s="44"/>
    </row>
    <row r="19" spans="1:55" ht="17.5" thickBot="1">
      <c r="B19" s="17" t="s">
        <v>140</v>
      </c>
      <c r="BA19" s="44"/>
    </row>
    <row r="20" spans="1:55" ht="16.5" thickTop="1">
      <c r="E20" t="s">
        <v>292</v>
      </c>
      <c r="G20" t="str">
        <f>price_label</f>
        <v>£m 23/24 prices</v>
      </c>
      <c r="AU20" s="96">
        <f>SUM(AU8,AU9)</f>
        <v>51.923372402155465</v>
      </c>
      <c r="AV20" s="61">
        <f>SUM(AV8,AV9)</f>
        <v>61.572619925797028</v>
      </c>
      <c r="AW20" s="61">
        <f>SUM(AW8,AW9)</f>
        <v>55.27477886559349</v>
      </c>
      <c r="AX20" s="61">
        <f>SUM(AX8,AX9)</f>
        <v>42.11896976737728</v>
      </c>
      <c r="AY20" s="61">
        <f>SUM(AY8,AY9)</f>
        <v>31.968538906866897</v>
      </c>
      <c r="BA20" s="44" t="str">
        <f ca="1">$A$1</f>
        <v>Calculations_SO</v>
      </c>
      <c r="BB20" s="1" t="str">
        <f>$A$6</f>
        <v>Totex</v>
      </c>
      <c r="BC20" s="1" t="str">
        <f>$B$19</f>
        <v>Allowed totex</v>
      </c>
    </row>
    <row r="21" spans="1:55">
      <c r="E21" t="s">
        <v>293</v>
      </c>
      <c r="G21" t="str">
        <f>price_label</f>
        <v>£m 23/24 prices</v>
      </c>
      <c r="AU21" s="96">
        <f>SUM(AU10,AU11)</f>
        <v>78.589295058555791</v>
      </c>
      <c r="AV21" s="61">
        <f>SUM(AV10,AV11)</f>
        <v>78.339036671407811</v>
      </c>
      <c r="AW21" s="61">
        <f>SUM(AW10,AW11)</f>
        <v>78.824316230355848</v>
      </c>
      <c r="AX21" s="61">
        <f>SUM(AX10,AX11)</f>
        <v>78.235029982396128</v>
      </c>
      <c r="AY21" s="61">
        <f>SUM(AY10,AY11)</f>
        <v>76.125981984015255</v>
      </c>
      <c r="BA21" s="44" t="str">
        <f t="shared" ref="BA21:BA42" ca="1" si="0">$A$1</f>
        <v>Calculations_SO</v>
      </c>
      <c r="BB21" s="1" t="str">
        <f>$A$6</f>
        <v>Totex</v>
      </c>
      <c r="BC21" s="1" t="str">
        <f>$B$19</f>
        <v>Allowed totex</v>
      </c>
    </row>
    <row r="22" spans="1:55">
      <c r="E22" t="s">
        <v>140</v>
      </c>
      <c r="G22" t="str">
        <f>price_label</f>
        <v>£m 23/24 prices</v>
      </c>
      <c r="AU22" s="96">
        <f>SUM(AU20:AU21)</f>
        <v>130.51266746071127</v>
      </c>
      <c r="AV22" s="61">
        <f>SUM(AV20:AV21)</f>
        <v>139.91165659720485</v>
      </c>
      <c r="AW22" s="61">
        <f>SUM(AW20:AW21)</f>
        <v>134.09909509594934</v>
      </c>
      <c r="AX22" s="61">
        <f>SUM(AX20:AX21)</f>
        <v>120.35399974977341</v>
      </c>
      <c r="AY22" s="61">
        <f>SUM(AY20:AY21)</f>
        <v>108.09452089088215</v>
      </c>
      <c r="BA22" s="44" t="str">
        <f t="shared" ca="1" si="0"/>
        <v>Calculations_SO</v>
      </c>
      <c r="BB22" s="1" t="str">
        <f>$A$6</f>
        <v>Totex</v>
      </c>
      <c r="BC22" s="1" t="str">
        <f>$B$19</f>
        <v>Allowed totex</v>
      </c>
    </row>
    <row r="23" spans="1:55">
      <c r="BA23" s="44"/>
    </row>
    <row r="24" spans="1:55" ht="17.5" thickBot="1">
      <c r="B24" s="17" t="s">
        <v>294</v>
      </c>
      <c r="BA24" s="44"/>
    </row>
    <row r="25" spans="1:55" ht="16.5" thickTop="1">
      <c r="E25" t="s">
        <v>248</v>
      </c>
      <c r="G25" t="str">
        <f>price_label</f>
        <v>£m 23/24 prices</v>
      </c>
      <c r="AU25" s="96">
        <f t="shared" ref="AU25:AY26" si="1">AU14*AU$12+AU20*AU$13</f>
        <v>51.923372402155465</v>
      </c>
      <c r="AV25" s="61">
        <f t="shared" si="1"/>
        <v>61.572619925797028</v>
      </c>
      <c r="AW25" s="61">
        <f t="shared" si="1"/>
        <v>55.27477886559349</v>
      </c>
      <c r="AX25" s="61">
        <f t="shared" si="1"/>
        <v>42.11896976737728</v>
      </c>
      <c r="AY25" s="61">
        <f t="shared" si="1"/>
        <v>31.968538906866897</v>
      </c>
      <c r="BA25" s="44" t="str">
        <f t="shared" ca="1" si="0"/>
        <v>Calculations_SO</v>
      </c>
      <c r="BB25" s="1" t="str">
        <f>$A$6</f>
        <v>Totex</v>
      </c>
      <c r="BC25" s="1" t="str">
        <f>$B$24</f>
        <v>Totex applied</v>
      </c>
    </row>
    <row r="26" spans="1:55">
      <c r="E26" t="s">
        <v>283</v>
      </c>
      <c r="G26" t="str">
        <f>price_label</f>
        <v>£m 23/24 prices</v>
      </c>
      <c r="AU26" s="96">
        <f t="shared" si="1"/>
        <v>78.589295058555791</v>
      </c>
      <c r="AV26" s="61">
        <f t="shared" si="1"/>
        <v>78.339036671407811</v>
      </c>
      <c r="AW26" s="61">
        <f t="shared" si="1"/>
        <v>78.824316230355848</v>
      </c>
      <c r="AX26" s="61">
        <f t="shared" si="1"/>
        <v>78.235029982396128</v>
      </c>
      <c r="AY26" s="61">
        <f t="shared" si="1"/>
        <v>76.125981984015255</v>
      </c>
      <c r="BA26" s="44" t="str">
        <f t="shared" ca="1" si="0"/>
        <v>Calculations_SO</v>
      </c>
      <c r="BB26" s="1" t="str">
        <f>$A$6</f>
        <v>Totex</v>
      </c>
      <c r="BC26" s="1" t="str">
        <f>$B$24</f>
        <v>Totex applied</v>
      </c>
    </row>
    <row r="27" spans="1:55">
      <c r="E27" t="s">
        <v>8</v>
      </c>
      <c r="G27" t="str">
        <f>price_label</f>
        <v>£m 23/24 prices</v>
      </c>
      <c r="AU27" s="96">
        <f>SUM(AU25:AU26)</f>
        <v>130.51266746071127</v>
      </c>
      <c r="AV27" s="61">
        <f>SUM(AV25:AV26)</f>
        <v>139.91165659720485</v>
      </c>
      <c r="AW27" s="61">
        <f>SUM(AW25:AW26)</f>
        <v>134.09909509594934</v>
      </c>
      <c r="AX27" s="61">
        <f>SUM(AX25:AX26)</f>
        <v>120.35399974977341</v>
      </c>
      <c r="AY27" s="61">
        <f>SUM(AY25:AY26)</f>
        <v>108.09452089088215</v>
      </c>
      <c r="BA27" s="44" t="str">
        <f t="shared" ca="1" si="0"/>
        <v>Calculations_SO</v>
      </c>
      <c r="BB27" s="1" t="str">
        <f>$A$6</f>
        <v>Totex</v>
      </c>
      <c r="BC27" s="1" t="str">
        <f>$B$24</f>
        <v>Totex applied</v>
      </c>
    </row>
    <row r="28" spans="1:55">
      <c r="BA28" s="44"/>
    </row>
    <row r="29" spans="1:55" ht="20" thickBot="1">
      <c r="A29" s="15" t="s">
        <v>60</v>
      </c>
      <c r="BA29" s="44"/>
    </row>
    <row r="30" spans="1:55" ht="18" thickTop="1" thickBot="1">
      <c r="B30" s="17" t="s">
        <v>400</v>
      </c>
      <c r="BA30" s="44"/>
    </row>
    <row r="31" spans="1:55" ht="16.5" outlineLevel="1" thickTop="1">
      <c r="D31" s="1" t="s">
        <v>147</v>
      </c>
      <c r="E31" t="s">
        <v>8</v>
      </c>
      <c r="G31" t="str">
        <f>price_label</f>
        <v>£m 23/24 prices</v>
      </c>
      <c r="AU31" s="95">
        <f>AU27</f>
        <v>130.51266746071127</v>
      </c>
      <c r="AV31" s="69">
        <f>AV27</f>
        <v>139.91165659720485</v>
      </c>
      <c r="AW31" s="69">
        <f>AW27</f>
        <v>134.09909509594934</v>
      </c>
      <c r="AX31" s="69">
        <f>AX27</f>
        <v>120.35399974977341</v>
      </c>
      <c r="AY31" s="69">
        <f>AY27</f>
        <v>108.09452089088215</v>
      </c>
      <c r="BA31" s="44"/>
    </row>
    <row r="32" spans="1:55" outlineLevel="1">
      <c r="D32" s="1" t="s">
        <v>147</v>
      </c>
      <c r="E32" t="s">
        <v>140</v>
      </c>
      <c r="G32" t="str">
        <f>price_label</f>
        <v>£m 23/24 prices</v>
      </c>
      <c r="AU32" s="95">
        <f>AU22</f>
        <v>130.51266746071127</v>
      </c>
      <c r="AV32" s="69">
        <f>AV22</f>
        <v>139.91165659720485</v>
      </c>
      <c r="AW32" s="69">
        <f>AW22</f>
        <v>134.09909509594934</v>
      </c>
      <c r="AX32" s="69">
        <f>AX22</f>
        <v>120.35399974977341</v>
      </c>
      <c r="AY32" s="69">
        <f>AY22</f>
        <v>108.09452089088215</v>
      </c>
      <c r="BA32" s="44"/>
    </row>
    <row r="33" spans="1:55" outlineLevel="1">
      <c r="D33" s="1" t="str" cm="1">
        <f t="array" aca="1" ref="D33" ca="1">IFERROR(MID(_xlfn.FORMULATEXT(I33),FIND("=",_xlfn.FORMULATEXT(I33))+1,FIND("!",_xlfn.FORMULATEXT(I33))-2),MID(_xlfn.FORMULATEXT(INDEX(L33:AV33,MATCH(FALSE,ISBLANK(L33:AV33),0))),FIND("=",_xlfn.FORMULATEXT(INDEX(L33:AV33,MATCH(FALSE,ISBLANK(L33:AV33),0))))+1,FIND("!",_xlfn.FORMULATEXT(INDEX(L33:AV33,MATCH(FALSE,ISBLANK(L33:AV33),0))))-2))</f>
        <v>Transform_SO</v>
      </c>
      <c r="E33" t="s">
        <v>399</v>
      </c>
      <c r="G33" t="s">
        <v>33</v>
      </c>
      <c r="I33" s="70">
        <f>Transform_SO!I22</f>
        <v>0.61</v>
      </c>
      <c r="BA33" s="44"/>
    </row>
    <row r="34" spans="1:55" outlineLevel="1">
      <c r="D34" s="1" t="str" cm="1">
        <f t="array" aca="1" ref="D34" ca="1">IFERROR(MID(_xlfn.FORMULATEXT(I34),FIND("=",_xlfn.FORMULATEXT(I34))+1,FIND("!",_xlfn.FORMULATEXT(I34))-2),MID(_xlfn.FORMULATEXT(INDEX(L34:AV34,MATCH(FALSE,ISBLANK(L34:AV34),0))),FIND("=",_xlfn.FORMULATEXT(INDEX(L34:AV34,MATCH(FALSE,ISBLANK(L34:AV34),0))))+1,FIND("!",_xlfn.FORMULATEXT(INDEX(L34:AV34,MATCH(FALSE,ISBLANK(L34:AV34),0))))-2))</f>
        <v>Transform_SO</v>
      </c>
      <c r="E34" t="s">
        <v>282</v>
      </c>
      <c r="G34" t="s">
        <v>33</v>
      </c>
      <c r="AU34" s="99">
        <f>Transform_SO!AU20</f>
        <v>0.39</v>
      </c>
      <c r="AV34" s="70">
        <f>Transform_SO!AV20</f>
        <v>0.39</v>
      </c>
      <c r="AW34" s="70">
        <f>Transform_SO!AW20</f>
        <v>0.39</v>
      </c>
      <c r="AX34" s="70">
        <f>Transform_SO!AX20</f>
        <v>0.39</v>
      </c>
      <c r="AY34" s="70">
        <f>Transform_SO!AY20</f>
        <v>0.39</v>
      </c>
      <c r="BA34" s="44"/>
    </row>
    <row r="35" spans="1:55">
      <c r="BA35" s="44"/>
    </row>
    <row r="36" spans="1:55" ht="17.5" thickBot="1">
      <c r="B36" s="17" t="s">
        <v>60</v>
      </c>
      <c r="BA36" s="44"/>
    </row>
    <row r="37" spans="1:55" ht="16.5" thickTop="1">
      <c r="E37" t="s">
        <v>295</v>
      </c>
      <c r="G37" t="str">
        <f>price_label</f>
        <v>£m 23/24 prices</v>
      </c>
      <c r="AU37" s="96">
        <f>AU31-AU32</f>
        <v>0</v>
      </c>
      <c r="AV37" s="61">
        <f>AV31-AV32</f>
        <v>0</v>
      </c>
      <c r="AW37" s="61">
        <f>AW31-AW32</f>
        <v>0</v>
      </c>
      <c r="AX37" s="61">
        <f>AX31-AX32</f>
        <v>0</v>
      </c>
      <c r="AY37" s="61">
        <f>AY31-AY32</f>
        <v>0</v>
      </c>
      <c r="BA37" s="44" t="str">
        <f t="shared" ca="1" si="0"/>
        <v>Calculations_SO</v>
      </c>
      <c r="BB37" s="1" t="str">
        <f>$A$29</f>
        <v>TIM</v>
      </c>
      <c r="BC37" s="1" t="str">
        <f>$B$36</f>
        <v>TIM</v>
      </c>
    </row>
    <row r="38" spans="1:55">
      <c r="E38" t="s">
        <v>296</v>
      </c>
      <c r="G38" t="str">
        <f>price_label</f>
        <v>£m 23/24 prices</v>
      </c>
      <c r="AU38" s="96">
        <f>AU37*$I$33</f>
        <v>0</v>
      </c>
      <c r="AV38" s="61">
        <f>AV37*$I$33</f>
        <v>0</v>
      </c>
      <c r="AW38" s="61">
        <f>AW37*$I$33</f>
        <v>0</v>
      </c>
      <c r="AX38" s="61">
        <f>AX37*$I$33</f>
        <v>0</v>
      </c>
      <c r="AY38" s="61">
        <f>AY37*$I$33</f>
        <v>0</v>
      </c>
      <c r="BA38" s="44" t="str">
        <f t="shared" ca="1" si="0"/>
        <v>Calculations_SO</v>
      </c>
      <c r="BB38" s="1" t="str">
        <f>$A$29</f>
        <v>TIM</v>
      </c>
      <c r="BC38" s="1" t="str">
        <f>$B$36</f>
        <v>TIM</v>
      </c>
    </row>
    <row r="39" spans="1:55">
      <c r="E39" t="s">
        <v>145</v>
      </c>
      <c r="G39" t="str">
        <f>price_label</f>
        <v>£m 23/24 prices</v>
      </c>
      <c r="AU39" s="141">
        <f>SUM(AU32,AU38)</f>
        <v>130.51266746071127</v>
      </c>
      <c r="AV39" s="65">
        <f>SUM(AV32,AV38)</f>
        <v>139.91165659720485</v>
      </c>
      <c r="AW39" s="65">
        <f>SUM(AW32,AW38)</f>
        <v>134.09909509594934</v>
      </c>
      <c r="AX39" s="65">
        <f>SUM(AX32,AX38)</f>
        <v>120.35399974977341</v>
      </c>
      <c r="AY39" s="65">
        <f>SUM(AY32,AY38)</f>
        <v>108.09452089088215</v>
      </c>
      <c r="BA39" s="44" t="str">
        <f t="shared" ca="1" si="0"/>
        <v>Calculations_SO</v>
      </c>
      <c r="BB39" s="1" t="str">
        <f>$A$29</f>
        <v>TIM</v>
      </c>
      <c r="BC39" s="1" t="str">
        <f>$B$36</f>
        <v>TIM</v>
      </c>
    </row>
    <row r="40" spans="1:55">
      <c r="BA40" s="44"/>
    </row>
    <row r="41" spans="1:55">
      <c r="E41" t="s">
        <v>315</v>
      </c>
      <c r="G41" t="str">
        <f>price_label</f>
        <v>£m 23/24 prices</v>
      </c>
      <c r="AU41" s="96">
        <f>AU39*(1-AU34)</f>
        <v>79.61272715103388</v>
      </c>
      <c r="AV41" s="61">
        <f>AV39*(1-AV34)</f>
        <v>85.346110524294957</v>
      </c>
      <c r="AW41" s="61">
        <f>AW39*(1-AW34)</f>
        <v>81.800448008529088</v>
      </c>
      <c r="AX41" s="61">
        <f>AX39*(1-AX34)</f>
        <v>73.415939847361784</v>
      </c>
      <c r="AY41" s="61">
        <f>AY39*(1-AY34)</f>
        <v>65.937657743438109</v>
      </c>
      <c r="BA41" s="44" t="str">
        <f t="shared" ca="1" si="0"/>
        <v>Calculations_SO</v>
      </c>
      <c r="BB41" s="1" t="str">
        <f>$A$29</f>
        <v>TIM</v>
      </c>
      <c r="BC41" s="1" t="str">
        <f>$B$36</f>
        <v>TIM</v>
      </c>
    </row>
    <row r="42" spans="1:55">
      <c r="E42" t="s">
        <v>158</v>
      </c>
      <c r="G42" t="str">
        <f>price_label</f>
        <v>£m 23/24 prices</v>
      </c>
      <c r="AU42" s="96">
        <f>AU39*AU34</f>
        <v>50.899940309677397</v>
      </c>
      <c r="AV42" s="61">
        <f>AV39*AV34</f>
        <v>54.565546072909896</v>
      </c>
      <c r="AW42" s="61">
        <f>AW39*AW34</f>
        <v>52.298647087420242</v>
      </c>
      <c r="AX42" s="61">
        <f>AX39*AX34</f>
        <v>46.938059902411631</v>
      </c>
      <c r="AY42" s="61">
        <f>AY39*AY34</f>
        <v>42.156863147444042</v>
      </c>
      <c r="BA42" s="44" t="str">
        <f t="shared" ca="1" si="0"/>
        <v>Calculations_SO</v>
      </c>
      <c r="BB42" s="1" t="str">
        <f>$A$29</f>
        <v>TIM</v>
      </c>
      <c r="BC42" s="1" t="str">
        <f>$B$36</f>
        <v>TIM</v>
      </c>
    </row>
    <row r="43" spans="1:55">
      <c r="BA43" s="44"/>
    </row>
    <row r="44" spans="1:55" ht="20" thickBot="1">
      <c r="A44" s="15" t="s">
        <v>154</v>
      </c>
      <c r="BA44" s="44"/>
    </row>
    <row r="45" spans="1:55" ht="18" thickTop="1" thickBot="1">
      <c r="B45" s="17" t="s">
        <v>400</v>
      </c>
      <c r="BA45" s="44"/>
    </row>
    <row r="46" spans="1:55" s="5" customFormat="1" ht="15" outlineLevel="1" thickTop="1">
      <c r="A46"/>
      <c r="B46" s="6"/>
      <c r="C46" s="6"/>
      <c r="D46" s="1" t="s">
        <v>147</v>
      </c>
      <c r="E46" s="43" t="s">
        <v>158</v>
      </c>
      <c r="F46" s="43"/>
      <c r="G46" s="43" t="str">
        <f>price_label</f>
        <v>£m 23/24 prices</v>
      </c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3"/>
      <c r="AS46" s="43"/>
      <c r="AT46" s="76"/>
      <c r="AU46" s="142">
        <f>AU42</f>
        <v>50.899940309677397</v>
      </c>
      <c r="AV46" s="111">
        <f>AV42</f>
        <v>54.565546072909896</v>
      </c>
      <c r="AW46" s="111">
        <f>AW42</f>
        <v>52.298647087420242</v>
      </c>
      <c r="AX46" s="111">
        <f>AX42</f>
        <v>46.938059902411631</v>
      </c>
      <c r="AY46" s="111">
        <f>AY42</f>
        <v>42.156863147444042</v>
      </c>
      <c r="AZ46"/>
      <c r="BA46" s="44"/>
      <c r="BB46" s="44"/>
      <c r="BC46" s="44"/>
    </row>
    <row r="47" spans="1:55" s="5" customFormat="1" ht="14.5" outlineLevel="1">
      <c r="A47"/>
      <c r="B47" s="6"/>
      <c r="C47" s="6"/>
      <c r="D47" s="1" t="s">
        <v>147</v>
      </c>
      <c r="E47" s="43" t="s">
        <v>78</v>
      </c>
      <c r="F47" s="43"/>
      <c r="G47" s="43" t="str">
        <f>price_label</f>
        <v>£m 23/24 prices</v>
      </c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/>
      <c r="X47" s="111">
        <f>Transform_SO!X26</f>
        <v>0</v>
      </c>
      <c r="Y47" s="111">
        <f>Transform_SO!Y26</f>
        <v>0</v>
      </c>
      <c r="Z47" s="111">
        <f>Transform_SO!Z26</f>
        <v>0</v>
      </c>
      <c r="AA47" s="111">
        <f>Transform_SO!AA26</f>
        <v>0</v>
      </c>
      <c r="AB47" s="111">
        <f>Transform_SO!AB26</f>
        <v>17.958820591449118</v>
      </c>
      <c r="AC47" s="111">
        <f>Transform_SO!AC26</f>
        <v>12.438928625409169</v>
      </c>
      <c r="AD47" s="111">
        <f>Transform_SO!AD26</f>
        <v>16.561981266218712</v>
      </c>
      <c r="AE47" s="111">
        <f>Transform_SO!AE26</f>
        <v>15.051324035092895</v>
      </c>
      <c r="AF47" s="111">
        <f>Transform_SO!AF26</f>
        <v>18.924538002288429</v>
      </c>
      <c r="AG47" s="111">
        <f>Transform_SO!AG26</f>
        <v>39.772014689532305</v>
      </c>
      <c r="AH47" s="43"/>
      <c r="AI47" s="43"/>
      <c r="AJ47" s="43"/>
      <c r="AK47" s="43"/>
      <c r="AL47" s="43"/>
      <c r="AM47" s="43"/>
      <c r="AN47" s="43"/>
      <c r="AO47" s="43"/>
      <c r="AP47" s="43"/>
      <c r="AQ47" s="43"/>
      <c r="AR47" s="43"/>
      <c r="AS47" s="43"/>
      <c r="AT47" s="76"/>
      <c r="AU47" s="43"/>
      <c r="AV47" s="43"/>
      <c r="AW47" s="43"/>
      <c r="AX47" s="43"/>
      <c r="AY47" s="43"/>
      <c r="AZ47"/>
      <c r="BA47" s="44"/>
      <c r="BB47" s="44"/>
      <c r="BC47" s="44"/>
    </row>
    <row r="48" spans="1:55" s="5" customFormat="1" ht="14.5" outlineLevel="1">
      <c r="A48"/>
      <c r="B48" s="6"/>
      <c r="C48" s="6"/>
      <c r="D48" s="1" t="s">
        <v>147</v>
      </c>
      <c r="E48" s="43" t="s">
        <v>805</v>
      </c>
      <c r="F48" s="43"/>
      <c r="G48" s="43" t="str">
        <f>price_label</f>
        <v>£m 23/24 prices</v>
      </c>
      <c r="H48" s="43"/>
      <c r="I48" s="43"/>
      <c r="J48" s="43" t="s">
        <v>10</v>
      </c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111">
        <f>Transform_SO!AH27</f>
        <v>41.862841559768228</v>
      </c>
      <c r="AI48" s="111">
        <f>Transform_SO!AI27</f>
        <v>46.451430458247806</v>
      </c>
      <c r="AJ48" s="111">
        <f>Transform_SO!AJ27</f>
        <v>49.593851658994922</v>
      </c>
      <c r="AK48" s="111">
        <f>Transform_SO!AK27</f>
        <v>47.150605524085442</v>
      </c>
      <c r="AL48" s="111">
        <f>Transform_SO!AL27</f>
        <v>43.503914548072935</v>
      </c>
      <c r="AM48" s="111">
        <f>Transform_SO!AM27</f>
        <v>46.791922766939734</v>
      </c>
      <c r="AN48" s="111">
        <f>Transform_SO!AN27</f>
        <v>48.263160058761315</v>
      </c>
      <c r="AO48" s="111">
        <f>Transform_SO!AO27</f>
        <v>45.386552517745301</v>
      </c>
      <c r="AP48" s="111">
        <f>Transform_SO!AP27</f>
        <v>33.556538549888074</v>
      </c>
      <c r="AQ48" s="111">
        <f>Transform_SO!AQ27</f>
        <v>32.089398102404324</v>
      </c>
      <c r="AR48" s="111">
        <f>Transform_SO!AR27</f>
        <v>38.057570922873104</v>
      </c>
      <c r="AS48" s="111">
        <f>Transform_SO!AS27</f>
        <v>39.847141595382205</v>
      </c>
      <c r="AT48" s="145">
        <f>Transform_SO!AT27</f>
        <v>44.91818041237466</v>
      </c>
      <c r="AU48" s="43"/>
      <c r="AV48" s="43"/>
      <c r="AW48" s="43"/>
      <c r="AX48" s="43"/>
      <c r="AY48" s="43"/>
      <c r="AZ48"/>
      <c r="BA48" s="44"/>
      <c r="BB48" s="44"/>
      <c r="BC48" s="44"/>
    </row>
    <row r="49" spans="1:59" ht="14.5" outlineLevel="1">
      <c r="D49" s="1" t="s">
        <v>147</v>
      </c>
      <c r="E49" t="s">
        <v>524</v>
      </c>
      <c r="G49" t="s">
        <v>21</v>
      </c>
      <c r="J49" s="43" t="s">
        <v>10</v>
      </c>
      <c r="AU49" s="101">
        <f>Transform_TO!AU209</f>
        <v>1.0903812147866101</v>
      </c>
      <c r="AV49" s="71">
        <f>Transform_TO!AV209</f>
        <v>1.1038900921236532</v>
      </c>
      <c r="AW49" s="71">
        <f>Transform_TO!AW209</f>
        <v>1.117474709683749</v>
      </c>
      <c r="AX49" s="71">
        <f>Transform_TO!AX209</f>
        <v>1.1311303901017495</v>
      </c>
      <c r="AY49" s="71">
        <f>Transform_TO!AY209</f>
        <v>1.1451152758990213</v>
      </c>
      <c r="BA49"/>
      <c r="BB49"/>
      <c r="BC49"/>
      <c r="BD49"/>
      <c r="BF49"/>
      <c r="BG49"/>
    </row>
    <row r="50" spans="1:59" s="5" customFormat="1" ht="14.5" outlineLevel="1">
      <c r="A50"/>
      <c r="B50" s="6"/>
      <c r="C50" s="6"/>
      <c r="D50" s="1" t="s">
        <v>147</v>
      </c>
      <c r="E50" s="43" t="s">
        <v>80</v>
      </c>
      <c r="F50" s="43"/>
      <c r="G50" s="43" t="s">
        <v>75</v>
      </c>
      <c r="H50" s="43"/>
      <c r="I50" s="110">
        <f>Transform_SO!I25</f>
        <v>7</v>
      </c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/>
      <c r="AM50" s="43"/>
      <c r="AN50" s="43"/>
      <c r="AO50" s="43"/>
      <c r="AP50" s="43"/>
      <c r="AQ50" s="43"/>
      <c r="AR50" s="43"/>
      <c r="AS50" s="43"/>
      <c r="AT50" s="76"/>
      <c r="AU50" s="43"/>
      <c r="AV50" s="43"/>
      <c r="AW50" s="43"/>
      <c r="AX50" s="43"/>
      <c r="AY50" s="43"/>
      <c r="AZ50"/>
      <c r="BA50" s="44"/>
      <c r="BB50" s="44"/>
      <c r="BC50" s="44"/>
    </row>
    <row r="51" spans="1:59" s="5" customFormat="1" ht="14.5">
      <c r="A51"/>
      <c r="B51" s="6"/>
      <c r="C51" s="6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3"/>
      <c r="AS51" s="43"/>
      <c r="AT51" s="76"/>
      <c r="AU51" s="43"/>
      <c r="AV51" s="43"/>
      <c r="AW51" s="43"/>
      <c r="AX51" s="43"/>
      <c r="AY51" s="43"/>
      <c r="AZ51"/>
      <c r="BA51" s="44"/>
      <c r="BB51" s="44"/>
      <c r="BC51" s="44"/>
    </row>
    <row r="52" spans="1:59" s="5" customFormat="1" ht="17.5" thickBot="1">
      <c r="A52"/>
      <c r="B52" s="11" t="s">
        <v>500</v>
      </c>
      <c r="C52" s="6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/>
      <c r="X52" s="43"/>
      <c r="Y52" s="43"/>
      <c r="Z52" s="43"/>
      <c r="AA52" s="43"/>
      <c r="AB52" s="43"/>
      <c r="AC52" s="43"/>
      <c r="AD52" s="43"/>
      <c r="AE52" s="43"/>
      <c r="AF52" s="43"/>
      <c r="AG52" s="43"/>
      <c r="AH52" s="43"/>
      <c r="AI52" s="43"/>
      <c r="AJ52" s="43"/>
      <c r="AK52" s="43"/>
      <c r="AL52" s="43"/>
      <c r="AM52" s="43"/>
      <c r="AN52" s="43"/>
      <c r="AO52" s="43"/>
      <c r="AP52" s="43"/>
      <c r="AQ52" s="43"/>
      <c r="AR52" s="43"/>
      <c r="AS52" s="43"/>
      <c r="AT52" s="76"/>
      <c r="AU52" s="43"/>
      <c r="AV52" s="43"/>
      <c r="AW52" s="43"/>
      <c r="AX52" s="43"/>
      <c r="AY52" s="43"/>
      <c r="AZ52"/>
      <c r="BA52" s="44"/>
      <c r="BB52" s="44"/>
      <c r="BC52" s="44"/>
    </row>
    <row r="53" spans="1:59" ht="15" thickTop="1">
      <c r="E53" t="s">
        <v>558</v>
      </c>
      <c r="G53" s="43" t="str">
        <f>price_label</f>
        <v>£m 23/24 prices</v>
      </c>
      <c r="AU53" s="143">
        <f>(AU46*PCf)/AU49</f>
        <v>51.142362399564838</v>
      </c>
      <c r="AV53" s="54">
        <f>(AV46*PCf)/AV49</f>
        <v>55.311270292895543</v>
      </c>
      <c r="AW53" s="54">
        <f>(AW46*PCf)/AW49</f>
        <v>53.480067767009359</v>
      </c>
      <c r="AX53" s="54">
        <f>(AX46*PCf)/AX49</f>
        <v>48.417998184535918</v>
      </c>
      <c r="AY53" s="54">
        <f>(AY46*PCf)/AY49</f>
        <v>43.870627158518452</v>
      </c>
      <c r="BA53" s="44" t="str">
        <f t="shared" ref="BA53:BA54" ca="1" si="2">$A$1</f>
        <v>Calculations_SO</v>
      </c>
      <c r="BB53" s="1" t="str">
        <f>$A$44</f>
        <v>Depreciation</v>
      </c>
      <c r="BC53" s="116" t="str">
        <f>$B$52</f>
        <v>Input calculations</v>
      </c>
      <c r="BD53"/>
      <c r="BF53"/>
      <c r="BG53"/>
    </row>
    <row r="54" spans="1:59" s="5" customFormat="1" ht="14.5">
      <c r="A54"/>
      <c r="B54" s="6"/>
      <c r="C54" s="6"/>
      <c r="D54" s="43"/>
      <c r="E54" s="43" t="s">
        <v>425</v>
      </c>
      <c r="F54" s="43"/>
      <c r="G54" s="43" t="str">
        <f>price_label</f>
        <v>£m 23/24 prices</v>
      </c>
      <c r="H54" s="43"/>
      <c r="I54" s="43"/>
      <c r="J54" s="43" t="s">
        <v>10</v>
      </c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/>
      <c r="X54" s="54">
        <f t="shared" ref="X54:AY54" si="3">SUM(X47:X48,X53)</f>
        <v>0</v>
      </c>
      <c r="Y54" s="54">
        <f t="shared" si="3"/>
        <v>0</v>
      </c>
      <c r="Z54" s="54">
        <f t="shared" si="3"/>
        <v>0</v>
      </c>
      <c r="AA54" s="54">
        <f t="shared" si="3"/>
        <v>0</v>
      </c>
      <c r="AB54" s="54">
        <f t="shared" si="3"/>
        <v>17.958820591449118</v>
      </c>
      <c r="AC54" s="54">
        <f t="shared" si="3"/>
        <v>12.438928625409169</v>
      </c>
      <c r="AD54" s="54">
        <f t="shared" si="3"/>
        <v>16.561981266218712</v>
      </c>
      <c r="AE54" s="54">
        <f t="shared" si="3"/>
        <v>15.051324035092895</v>
      </c>
      <c r="AF54" s="54">
        <f t="shared" si="3"/>
        <v>18.924538002288429</v>
      </c>
      <c r="AG54" s="54">
        <f t="shared" si="3"/>
        <v>39.772014689532305</v>
      </c>
      <c r="AH54" s="54">
        <f t="shared" si="3"/>
        <v>41.862841559768228</v>
      </c>
      <c r="AI54" s="54">
        <f t="shared" si="3"/>
        <v>46.451430458247806</v>
      </c>
      <c r="AJ54" s="54">
        <f t="shared" si="3"/>
        <v>49.593851658994922</v>
      </c>
      <c r="AK54" s="54">
        <f t="shared" si="3"/>
        <v>47.150605524085442</v>
      </c>
      <c r="AL54" s="54">
        <f t="shared" si="3"/>
        <v>43.503914548072935</v>
      </c>
      <c r="AM54" s="54">
        <f t="shared" si="3"/>
        <v>46.791922766939734</v>
      </c>
      <c r="AN54" s="54">
        <f t="shared" si="3"/>
        <v>48.263160058761315</v>
      </c>
      <c r="AO54" s="54">
        <f t="shared" si="3"/>
        <v>45.386552517745301</v>
      </c>
      <c r="AP54" s="54">
        <f t="shared" si="3"/>
        <v>33.556538549888074</v>
      </c>
      <c r="AQ54" s="54">
        <f t="shared" si="3"/>
        <v>32.089398102404324</v>
      </c>
      <c r="AR54" s="54">
        <f t="shared" si="3"/>
        <v>38.057570922873104</v>
      </c>
      <c r="AS54" s="54">
        <f t="shared" si="3"/>
        <v>39.847141595382205</v>
      </c>
      <c r="AT54" s="87">
        <f t="shared" si="3"/>
        <v>44.91818041237466</v>
      </c>
      <c r="AU54" s="143">
        <f t="shared" si="3"/>
        <v>51.142362399564838</v>
      </c>
      <c r="AV54" s="54">
        <f t="shared" si="3"/>
        <v>55.311270292895543</v>
      </c>
      <c r="AW54" s="54">
        <f t="shared" si="3"/>
        <v>53.480067767009359</v>
      </c>
      <c r="AX54" s="54">
        <f t="shared" si="3"/>
        <v>48.417998184535918</v>
      </c>
      <c r="AY54" s="54">
        <f t="shared" si="3"/>
        <v>43.870627158518452</v>
      </c>
      <c r="AZ54"/>
      <c r="BA54" s="44" t="str">
        <f t="shared" ca="1" si="2"/>
        <v>Calculations_SO</v>
      </c>
      <c r="BB54" s="1" t="str">
        <f>$A$44</f>
        <v>Depreciation</v>
      </c>
      <c r="BC54" s="116" t="str">
        <f>$B$52</f>
        <v>Input calculations</v>
      </c>
    </row>
    <row r="55" spans="1:59" s="5" customFormat="1" ht="14.5">
      <c r="A55"/>
      <c r="B55" s="6"/>
      <c r="C55" s="6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s="43"/>
      <c r="AO55" s="43"/>
      <c r="AP55" s="43"/>
      <c r="AQ55" s="43"/>
      <c r="AR55" s="43"/>
      <c r="AS55" s="43"/>
      <c r="AT55" s="76"/>
      <c r="AU55" s="43"/>
      <c r="AV55" s="43"/>
      <c r="AW55" s="43"/>
      <c r="AX55" s="43"/>
      <c r="AY55" s="43"/>
      <c r="AZ55"/>
      <c r="BA55" s="44"/>
      <c r="BB55" s="44"/>
      <c r="BC55" s="44"/>
    </row>
    <row r="56" spans="1:59" s="5" customFormat="1" ht="17.5" thickBot="1">
      <c r="B56" s="117" t="s">
        <v>434</v>
      </c>
      <c r="C56" s="6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s="43"/>
      <c r="AO56" s="43"/>
      <c r="AP56" s="43"/>
      <c r="AQ56" s="43"/>
      <c r="AR56" s="43"/>
      <c r="AS56" s="43"/>
      <c r="AT56" s="76"/>
      <c r="AU56" s="43"/>
      <c r="AV56" s="43"/>
      <c r="AW56" s="43"/>
      <c r="AX56" s="43"/>
      <c r="AY56" s="43"/>
      <c r="AZ56"/>
      <c r="BA56" s="44"/>
      <c r="BB56" s="44"/>
      <c r="BC56" s="44"/>
    </row>
    <row r="57" spans="1:59" s="5" customFormat="1" ht="15" thickTop="1">
      <c r="A57"/>
      <c r="B57" s="6"/>
      <c r="C57" s="6"/>
      <c r="D57" s="43"/>
      <c r="E57" s="109">
        <v>38077</v>
      </c>
      <c r="F57" s="43"/>
      <c r="G57" s="43" t="str">
        <f t="shared" ref="G57:G84" si="4">price_label</f>
        <v>£m 23/24 prices</v>
      </c>
      <c r="H57" s="43"/>
      <c r="I57" s="43" cm="1">
        <f t="array" ref="I57:I84">TRANSPOSE(X54:AY54)</f>
        <v>0</v>
      </c>
      <c r="J57" s="43" t="s">
        <v>10</v>
      </c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54">
        <f>IF(AND(YEAR(X$4)&gt;YEAR($E57),$I57&gt;0),MIN($I57/$I$50,$I57-SUM($W57:W57)),0)</f>
        <v>0</v>
      </c>
      <c r="Y57" s="54">
        <f>IF(AND(YEAR(Y$4)&gt;YEAR($E57),$I57&gt;0),MIN($I57/$I$50,$I57-SUM($W57:X57)),0)</f>
        <v>0</v>
      </c>
      <c r="Z57" s="54">
        <f>IF(AND(YEAR(Z$4)&gt;YEAR($E57),$I57&gt;0),MIN($I57/$I$50,$I57-SUM($W57:Y57)),0)</f>
        <v>0</v>
      </c>
      <c r="AA57" s="54">
        <f>IF(AND(YEAR(AA$4)&gt;YEAR($E57),$I57&gt;0),MIN($I57/$I$50,$I57-SUM($W57:Z57)),0)</f>
        <v>0</v>
      </c>
      <c r="AB57" s="54">
        <f>IF(AND(YEAR(AB$4)&gt;YEAR($E57),$I57&gt;0),MIN($I57/$I$50,$I57-SUM($W57:AA57)),0)</f>
        <v>0</v>
      </c>
      <c r="AC57" s="54">
        <f>IF(AND(YEAR(AC$4)&gt;YEAR($E57),$I57&gt;0),MIN($I57/$I$50,$I57-SUM($W57:AB57)),0)</f>
        <v>0</v>
      </c>
      <c r="AD57" s="54">
        <f>IF(AND(YEAR(AD$4)&gt;YEAR($E57),$I57&gt;0),MIN($I57/$I$50,$I57-SUM($W57:AC57)),0)</f>
        <v>0</v>
      </c>
      <c r="AE57" s="54">
        <f>IF(AND(YEAR(AE$4)&gt;YEAR($E57),$I57&gt;0),MIN($I57/$I$50,$I57-SUM($W57:AD57)),0)</f>
        <v>0</v>
      </c>
      <c r="AF57" s="54">
        <f>IF(AND(YEAR(AF$4)&gt;YEAR($E57),$I57&gt;0),MIN($I57/$I$50,$I57-SUM($W57:AE57)),0)</f>
        <v>0</v>
      </c>
      <c r="AG57" s="54">
        <f>IF(AND(YEAR(AG$4)&gt;YEAR($E57),$I57&gt;0),MIN($I57/$I$50,$I57-SUM($W57:AF57)),0)</f>
        <v>0</v>
      </c>
      <c r="AH57" s="54">
        <f>IF(AND(YEAR(AH$4)&gt;YEAR($E57),$I57&gt;0),MIN($I57/$I$50,$I57-SUM($W57:AG57)),0)</f>
        <v>0</v>
      </c>
      <c r="AI57" s="54">
        <f>IF(AND(YEAR(AI$4)&gt;YEAR($E57),$I57&gt;0),MIN($I57/$I$50,$I57-SUM($W57:AH57)),0)</f>
        <v>0</v>
      </c>
      <c r="AJ57" s="54">
        <f>IF(AND(YEAR(AJ$4)&gt;YEAR($E57),$I57&gt;0),MIN($I57/$I$50,$I57-SUM($W57:AI57)),0)</f>
        <v>0</v>
      </c>
      <c r="AK57" s="54">
        <f>IF(AND(YEAR(AK$4)&gt;YEAR($E57),$I57&gt;0),MIN($I57/$I$50,$I57-SUM($W57:AJ57)),0)</f>
        <v>0</v>
      </c>
      <c r="AL57" s="54">
        <f>IF(AND(YEAR(AL$4)&gt;YEAR($E57),$I57&gt;0),MIN($I57/$I$50,$I57-SUM($W57:AK57)),0)</f>
        <v>0</v>
      </c>
      <c r="AM57" s="54">
        <f>IF(AND(YEAR(AM$4)&gt;YEAR($E57),$I57&gt;0),MIN($I57/$I$50,$I57-SUM($W57:AL57)),0)</f>
        <v>0</v>
      </c>
      <c r="AN57" s="54">
        <f>IF(AND(YEAR(AN$4)&gt;YEAR($E57),$I57&gt;0),MIN($I57/$I$50,$I57-SUM($W57:AM57)),0)</f>
        <v>0</v>
      </c>
      <c r="AO57" s="54">
        <f>IF(AND(YEAR(AO$4)&gt;YEAR($E57),$I57&gt;0),MIN($I57/$I$50,$I57-SUM($W57:AN57)),0)</f>
        <v>0</v>
      </c>
      <c r="AP57" s="54">
        <f>IF(AND(YEAR(AP$4)&gt;YEAR($E57),$I57&gt;0),MIN($I57/$I$50,$I57-SUM($W57:AO57)),0)</f>
        <v>0</v>
      </c>
      <c r="AQ57" s="54">
        <f>IF(AND(YEAR(AQ$4)&gt;YEAR($E57),$I57&gt;0),MIN($I57/$I$50,$I57-SUM($W57:AP57)),0)</f>
        <v>0</v>
      </c>
      <c r="AR57" s="54">
        <f>IF(AND(YEAR(AR$4)&gt;YEAR($E57),$I57&gt;0),MIN($I57/$I$50,$I57-SUM($W57:AQ57)),0)</f>
        <v>0</v>
      </c>
      <c r="AS57" s="54">
        <f>IF(AND(YEAR(AS$4)&gt;YEAR($E57),$I57&gt;0),MIN($I57/$I$50,$I57-SUM($W57:AR57)),0)</f>
        <v>0</v>
      </c>
      <c r="AT57" s="87">
        <f>IF(AND(YEAR(AT$4)&gt;YEAR($E57),$I57&gt;0),MIN($I57/$I$50,$I57-SUM($W57:AS57)),0)</f>
        <v>0</v>
      </c>
      <c r="AU57" s="143">
        <f>IF(AND(YEAR(AU$4)&gt;YEAR($E57),$I57&gt;0),MIN($I57/$I$50,$I57-SUM($W57:AT57)),0)</f>
        <v>0</v>
      </c>
      <c r="AV57" s="54">
        <f>IF(AND(YEAR(AV$4)&gt;YEAR($E57),$I57&gt;0),MIN($I57/$I$50,$I57-SUM($W57:AU57)),0)</f>
        <v>0</v>
      </c>
      <c r="AW57" s="54">
        <f>IF(AND(YEAR(AW$4)&gt;YEAR($E57),$I57&gt;0),MIN($I57/$I$50,$I57-SUM($W57:AV57)),0)</f>
        <v>0</v>
      </c>
      <c r="AX57" s="54">
        <f>IF(AND(YEAR(AX$4)&gt;YEAR($E57),$I57&gt;0),MIN($I57/$I$50,$I57-SUM($W57:AW57)),0)</f>
        <v>0</v>
      </c>
      <c r="AY57" s="54">
        <f>IF(AND(YEAR(AY$4)&gt;YEAR($E57),$I57&gt;0),MIN($I57/$I$50,$I57-SUM($W57:AX57)),0)</f>
        <v>0</v>
      </c>
      <c r="AZ57"/>
      <c r="BA57" s="44" t="str">
        <f t="shared" ref="BA57:BA86" ca="1" si="5">$A$1</f>
        <v>Calculations_SO</v>
      </c>
      <c r="BB57" s="1" t="str">
        <f t="shared" ref="BB57:BB84" si="6">$A$44</f>
        <v>Depreciation</v>
      </c>
      <c r="BC57" s="116" t="str">
        <f t="shared" ref="BC57:BC84" si="7">$B$56</f>
        <v>Straight line depreciation</v>
      </c>
    </row>
    <row r="58" spans="1:59" s="5" customFormat="1" ht="14.5">
      <c r="A58"/>
      <c r="B58" s="6"/>
      <c r="C58" s="6"/>
      <c r="D58" s="43"/>
      <c r="E58" s="109">
        <v>38442</v>
      </c>
      <c r="F58" s="43"/>
      <c r="G58" s="43" t="str">
        <f t="shared" si="4"/>
        <v>£m 23/24 prices</v>
      </c>
      <c r="H58" s="43"/>
      <c r="I58" s="43">
        <v>0</v>
      </c>
      <c r="J58" s="43" t="s">
        <v>10</v>
      </c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54">
        <f>IF(AND(YEAR(X$4)&gt;YEAR($E58),$I58&gt;0),MIN($I58/$I$50,$I58-SUM($W58:W58)),0)</f>
        <v>0</v>
      </c>
      <c r="Y58" s="54">
        <f>IF(AND(YEAR(Y$4)&gt;YEAR($E58),$I58&gt;0),MIN($I58/$I$50,$I58-SUM($W58:X58)),0)</f>
        <v>0</v>
      </c>
      <c r="Z58" s="54">
        <f>IF(AND(YEAR(Z$4)&gt;YEAR($E58),$I58&gt;0),MIN($I58/$I$50,$I58-SUM($W58:Y58)),0)</f>
        <v>0</v>
      </c>
      <c r="AA58" s="54">
        <f>IF(AND(YEAR(AA$4)&gt;YEAR($E58),$I58&gt;0),MIN($I58/$I$50,$I58-SUM($W58:Z58)),0)</f>
        <v>0</v>
      </c>
      <c r="AB58" s="54">
        <f>IF(AND(YEAR(AB$4)&gt;YEAR($E58),$I58&gt;0),MIN($I58/$I$50,$I58-SUM($W58:AA58)),0)</f>
        <v>0</v>
      </c>
      <c r="AC58" s="54">
        <f>IF(AND(YEAR(AC$4)&gt;YEAR($E58),$I58&gt;0),MIN($I58/$I$50,$I58-SUM($W58:AB58)),0)</f>
        <v>0</v>
      </c>
      <c r="AD58" s="54">
        <f>IF(AND(YEAR(AD$4)&gt;YEAR($E58),$I58&gt;0),MIN($I58/$I$50,$I58-SUM($W58:AC58)),0)</f>
        <v>0</v>
      </c>
      <c r="AE58" s="54">
        <f>IF(AND(YEAR(AE$4)&gt;YEAR($E58),$I58&gt;0),MIN($I58/$I$50,$I58-SUM($W58:AD58)),0)</f>
        <v>0</v>
      </c>
      <c r="AF58" s="54">
        <f>IF(AND(YEAR(AF$4)&gt;YEAR($E58),$I58&gt;0),MIN($I58/$I$50,$I58-SUM($W58:AE58)),0)</f>
        <v>0</v>
      </c>
      <c r="AG58" s="54">
        <f>IF(AND(YEAR(AG$4)&gt;YEAR($E58),$I58&gt;0),MIN($I58/$I$50,$I58-SUM($W58:AF58)),0)</f>
        <v>0</v>
      </c>
      <c r="AH58" s="54">
        <f>IF(AND(YEAR(AH$4)&gt;YEAR($E58),$I58&gt;0),MIN($I58/$I$50,$I58-SUM($W58:AG58)),0)</f>
        <v>0</v>
      </c>
      <c r="AI58" s="54">
        <f>IF(AND(YEAR(AI$4)&gt;YEAR($E58),$I58&gt;0),MIN($I58/$I$50,$I58-SUM($W58:AH58)),0)</f>
        <v>0</v>
      </c>
      <c r="AJ58" s="54">
        <f>IF(AND(YEAR(AJ$4)&gt;YEAR($E58),$I58&gt;0),MIN($I58/$I$50,$I58-SUM($W58:AI58)),0)</f>
        <v>0</v>
      </c>
      <c r="AK58" s="54">
        <f>IF(AND(YEAR(AK$4)&gt;YEAR($E58),$I58&gt;0),MIN($I58/$I$50,$I58-SUM($W58:AJ58)),0)</f>
        <v>0</v>
      </c>
      <c r="AL58" s="54">
        <f>IF(AND(YEAR(AL$4)&gt;YEAR($E58),$I58&gt;0),MIN($I58/$I$50,$I58-SUM($W58:AK58)),0)</f>
        <v>0</v>
      </c>
      <c r="AM58" s="54">
        <f>IF(AND(YEAR(AM$4)&gt;YEAR($E58),$I58&gt;0),MIN($I58/$I$50,$I58-SUM($W58:AL58)),0)</f>
        <v>0</v>
      </c>
      <c r="AN58" s="54">
        <f>IF(AND(YEAR(AN$4)&gt;YEAR($E58),$I58&gt;0),MIN($I58/$I$50,$I58-SUM($W58:AM58)),0)</f>
        <v>0</v>
      </c>
      <c r="AO58" s="54">
        <f>IF(AND(YEAR(AO$4)&gt;YEAR($E58),$I58&gt;0),MIN($I58/$I$50,$I58-SUM($W58:AN58)),0)</f>
        <v>0</v>
      </c>
      <c r="AP58" s="54">
        <f>IF(AND(YEAR(AP$4)&gt;YEAR($E58),$I58&gt;0),MIN($I58/$I$50,$I58-SUM($W58:AO58)),0)</f>
        <v>0</v>
      </c>
      <c r="AQ58" s="54">
        <f>IF(AND(YEAR(AQ$4)&gt;YEAR($E58),$I58&gt;0),MIN($I58/$I$50,$I58-SUM($W58:AP58)),0)</f>
        <v>0</v>
      </c>
      <c r="AR58" s="54">
        <f>IF(AND(YEAR(AR$4)&gt;YEAR($E58),$I58&gt;0),MIN($I58/$I$50,$I58-SUM($W58:AQ58)),0)</f>
        <v>0</v>
      </c>
      <c r="AS58" s="54">
        <f>IF(AND(YEAR(AS$4)&gt;YEAR($E58),$I58&gt;0),MIN($I58/$I$50,$I58-SUM($W58:AR58)),0)</f>
        <v>0</v>
      </c>
      <c r="AT58" s="87">
        <f>IF(AND(YEAR(AT$4)&gt;YEAR($E58),$I58&gt;0),MIN($I58/$I$50,$I58-SUM($W58:AS58)),0)</f>
        <v>0</v>
      </c>
      <c r="AU58" s="143">
        <f>IF(AND(YEAR(AU$4)&gt;YEAR($E58),$I58&gt;0),MIN($I58/$I$50,$I58-SUM($W58:AT58)),0)</f>
        <v>0</v>
      </c>
      <c r="AV58" s="54">
        <f>IF(AND(YEAR(AV$4)&gt;YEAR($E58),$I58&gt;0),MIN($I58/$I$50,$I58-SUM($W58:AU58)),0)</f>
        <v>0</v>
      </c>
      <c r="AW58" s="54">
        <f>IF(AND(YEAR(AW$4)&gt;YEAR($E58),$I58&gt;0),MIN($I58/$I$50,$I58-SUM($W58:AV58)),0)</f>
        <v>0</v>
      </c>
      <c r="AX58" s="54">
        <f>IF(AND(YEAR(AX$4)&gt;YEAR($E58),$I58&gt;0),MIN($I58/$I$50,$I58-SUM($W58:AW58)),0)</f>
        <v>0</v>
      </c>
      <c r="AY58" s="54">
        <f>IF(AND(YEAR(AY$4)&gt;YEAR($E58),$I58&gt;0),MIN($I58/$I$50,$I58-SUM($W58:AX58)),0)</f>
        <v>0</v>
      </c>
      <c r="AZ58"/>
      <c r="BA58" s="44" t="str">
        <f t="shared" ca="1" si="5"/>
        <v>Calculations_SO</v>
      </c>
      <c r="BB58" s="1" t="str">
        <f t="shared" si="6"/>
        <v>Depreciation</v>
      </c>
      <c r="BC58" s="116" t="str">
        <f t="shared" si="7"/>
        <v>Straight line depreciation</v>
      </c>
    </row>
    <row r="59" spans="1:59" s="5" customFormat="1" ht="14.5">
      <c r="A59"/>
      <c r="B59" s="6"/>
      <c r="C59" s="6"/>
      <c r="D59" s="43"/>
      <c r="E59" s="109">
        <v>38807</v>
      </c>
      <c r="F59" s="43"/>
      <c r="G59" s="43" t="str">
        <f t="shared" si="4"/>
        <v>£m 23/24 prices</v>
      </c>
      <c r="H59" s="43"/>
      <c r="I59" s="43">
        <v>0</v>
      </c>
      <c r="J59" s="43" t="s">
        <v>10</v>
      </c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54">
        <f>IF(AND(YEAR(X$4)&gt;YEAR($E59),$I59&gt;0),MIN($I59/$I$50,$I59-SUM($W59:W59)),0)</f>
        <v>0</v>
      </c>
      <c r="Y59" s="54">
        <f>IF(AND(YEAR(Y$4)&gt;YEAR($E59),$I59&gt;0),MIN($I59/$I$50,$I59-SUM($W59:X59)),0)</f>
        <v>0</v>
      </c>
      <c r="Z59" s="54">
        <f>IF(AND(YEAR(Z$4)&gt;YEAR($E59),$I59&gt;0),MIN($I59/$I$50,$I59-SUM($W59:Y59)),0)</f>
        <v>0</v>
      </c>
      <c r="AA59" s="54">
        <f>IF(AND(YEAR(AA$4)&gt;YEAR($E59),$I59&gt;0),MIN($I59/$I$50,$I59-SUM($W59:Z59)),0)</f>
        <v>0</v>
      </c>
      <c r="AB59" s="54">
        <f>IF(AND(YEAR(AB$4)&gt;YEAR($E59),$I59&gt;0),MIN($I59/$I$50,$I59-SUM($W59:AA59)),0)</f>
        <v>0</v>
      </c>
      <c r="AC59" s="54">
        <f>IF(AND(YEAR(AC$4)&gt;YEAR($E59),$I59&gt;0),MIN($I59/$I$50,$I59-SUM($W59:AB59)),0)</f>
        <v>0</v>
      </c>
      <c r="AD59" s="54">
        <f>IF(AND(YEAR(AD$4)&gt;YEAR($E59),$I59&gt;0),MIN($I59/$I$50,$I59-SUM($W59:AC59)),0)</f>
        <v>0</v>
      </c>
      <c r="AE59" s="54">
        <f>IF(AND(YEAR(AE$4)&gt;YEAR($E59),$I59&gt;0),MIN($I59/$I$50,$I59-SUM($W59:AD59)),0)</f>
        <v>0</v>
      </c>
      <c r="AF59" s="54">
        <f>IF(AND(YEAR(AF$4)&gt;YEAR($E59),$I59&gt;0),MIN($I59/$I$50,$I59-SUM($W59:AE59)),0)</f>
        <v>0</v>
      </c>
      <c r="AG59" s="54">
        <f>IF(AND(YEAR(AG$4)&gt;YEAR($E59),$I59&gt;0),MIN($I59/$I$50,$I59-SUM($W59:AF59)),0)</f>
        <v>0</v>
      </c>
      <c r="AH59" s="54">
        <f>IF(AND(YEAR(AH$4)&gt;YEAR($E59),$I59&gt;0),MIN($I59/$I$50,$I59-SUM($W59:AG59)),0)</f>
        <v>0</v>
      </c>
      <c r="AI59" s="54">
        <f>IF(AND(YEAR(AI$4)&gt;YEAR($E59),$I59&gt;0),MIN($I59/$I$50,$I59-SUM($W59:AH59)),0)</f>
        <v>0</v>
      </c>
      <c r="AJ59" s="54">
        <f>IF(AND(YEAR(AJ$4)&gt;YEAR($E59),$I59&gt;0),MIN($I59/$I$50,$I59-SUM($W59:AI59)),0)</f>
        <v>0</v>
      </c>
      <c r="AK59" s="54">
        <f>IF(AND(YEAR(AK$4)&gt;YEAR($E59),$I59&gt;0),MIN($I59/$I$50,$I59-SUM($W59:AJ59)),0)</f>
        <v>0</v>
      </c>
      <c r="AL59" s="54">
        <f>IF(AND(YEAR(AL$4)&gt;YEAR($E59),$I59&gt;0),MIN($I59/$I$50,$I59-SUM($W59:AK59)),0)</f>
        <v>0</v>
      </c>
      <c r="AM59" s="54">
        <f>IF(AND(YEAR(AM$4)&gt;YEAR($E59),$I59&gt;0),MIN($I59/$I$50,$I59-SUM($W59:AL59)),0)</f>
        <v>0</v>
      </c>
      <c r="AN59" s="54">
        <f>IF(AND(YEAR(AN$4)&gt;YEAR($E59),$I59&gt;0),MIN($I59/$I$50,$I59-SUM($W59:AM59)),0)</f>
        <v>0</v>
      </c>
      <c r="AO59" s="54">
        <f>IF(AND(YEAR(AO$4)&gt;YEAR($E59),$I59&gt;0),MIN($I59/$I$50,$I59-SUM($W59:AN59)),0)</f>
        <v>0</v>
      </c>
      <c r="AP59" s="54">
        <f>IF(AND(YEAR(AP$4)&gt;YEAR($E59),$I59&gt;0),MIN($I59/$I$50,$I59-SUM($W59:AO59)),0)</f>
        <v>0</v>
      </c>
      <c r="AQ59" s="54">
        <f>IF(AND(YEAR(AQ$4)&gt;YEAR($E59),$I59&gt;0),MIN($I59/$I$50,$I59-SUM($W59:AP59)),0)</f>
        <v>0</v>
      </c>
      <c r="AR59" s="54">
        <f>IF(AND(YEAR(AR$4)&gt;YEAR($E59),$I59&gt;0),MIN($I59/$I$50,$I59-SUM($W59:AQ59)),0)</f>
        <v>0</v>
      </c>
      <c r="AS59" s="54">
        <f>IF(AND(YEAR(AS$4)&gt;YEAR($E59),$I59&gt;0),MIN($I59/$I$50,$I59-SUM($W59:AR59)),0)</f>
        <v>0</v>
      </c>
      <c r="AT59" s="87">
        <f>IF(AND(YEAR(AT$4)&gt;YEAR($E59),$I59&gt;0),MIN($I59/$I$50,$I59-SUM($W59:AS59)),0)</f>
        <v>0</v>
      </c>
      <c r="AU59" s="143">
        <f>IF(AND(YEAR(AU$4)&gt;YEAR($E59),$I59&gt;0),MIN($I59/$I$50,$I59-SUM($W59:AT59)),0)</f>
        <v>0</v>
      </c>
      <c r="AV59" s="54">
        <f>IF(AND(YEAR(AV$4)&gt;YEAR($E59),$I59&gt;0),MIN($I59/$I$50,$I59-SUM($W59:AU59)),0)</f>
        <v>0</v>
      </c>
      <c r="AW59" s="54">
        <f>IF(AND(YEAR(AW$4)&gt;YEAR($E59),$I59&gt;0),MIN($I59/$I$50,$I59-SUM($W59:AV59)),0)</f>
        <v>0</v>
      </c>
      <c r="AX59" s="54">
        <f>IF(AND(YEAR(AX$4)&gt;YEAR($E59),$I59&gt;0),MIN($I59/$I$50,$I59-SUM($W59:AW59)),0)</f>
        <v>0</v>
      </c>
      <c r="AY59" s="54">
        <f>IF(AND(YEAR(AY$4)&gt;YEAR($E59),$I59&gt;0),MIN($I59/$I$50,$I59-SUM($W59:AX59)),0)</f>
        <v>0</v>
      </c>
      <c r="AZ59"/>
      <c r="BA59" s="44" t="str">
        <f t="shared" ca="1" si="5"/>
        <v>Calculations_SO</v>
      </c>
      <c r="BB59" s="1" t="str">
        <f t="shared" si="6"/>
        <v>Depreciation</v>
      </c>
      <c r="BC59" s="116" t="str">
        <f t="shared" si="7"/>
        <v>Straight line depreciation</v>
      </c>
    </row>
    <row r="60" spans="1:59" s="5" customFormat="1" ht="14.5">
      <c r="A60"/>
      <c r="B60" s="6"/>
      <c r="C60" s="6"/>
      <c r="D60" s="43"/>
      <c r="E60" s="109">
        <v>39172</v>
      </c>
      <c r="F60" s="43"/>
      <c r="G60" s="43" t="str">
        <f t="shared" si="4"/>
        <v>£m 23/24 prices</v>
      </c>
      <c r="H60" s="43"/>
      <c r="I60" s="43">
        <v>0</v>
      </c>
      <c r="J60" s="43" t="s">
        <v>10</v>
      </c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54">
        <f>IF(AND(YEAR(X$4)&gt;YEAR($E60),$I60&gt;0),MIN($I60/$I$50,$I60-SUM($W60:W60)),0)</f>
        <v>0</v>
      </c>
      <c r="Y60" s="54">
        <f>IF(AND(YEAR(Y$4)&gt;YEAR($E60),$I60&gt;0),MIN($I60/$I$50,$I60-SUM($W60:X60)),0)</f>
        <v>0</v>
      </c>
      <c r="Z60" s="54">
        <f>IF(AND(YEAR(Z$4)&gt;YEAR($E60),$I60&gt;0),MIN($I60/$I$50,$I60-SUM($W60:Y60)),0)</f>
        <v>0</v>
      </c>
      <c r="AA60" s="54">
        <f>IF(AND(YEAR(AA$4)&gt;YEAR($E60),$I60&gt;0),MIN($I60/$I$50,$I60-SUM($W60:Z60)),0)</f>
        <v>0</v>
      </c>
      <c r="AB60" s="54">
        <f>IF(AND(YEAR(AB$4)&gt;YEAR($E60),$I60&gt;0),MIN($I60/$I$50,$I60-SUM($W60:AA60)),0)</f>
        <v>0</v>
      </c>
      <c r="AC60" s="54">
        <f>IF(AND(YEAR(AC$4)&gt;YEAR($E60),$I60&gt;0),MIN($I60/$I$50,$I60-SUM($W60:AB60)),0)</f>
        <v>0</v>
      </c>
      <c r="AD60" s="54">
        <f>IF(AND(YEAR(AD$4)&gt;YEAR($E60),$I60&gt;0),MIN($I60/$I$50,$I60-SUM($W60:AC60)),0)</f>
        <v>0</v>
      </c>
      <c r="AE60" s="54">
        <f>IF(AND(YEAR(AE$4)&gt;YEAR($E60),$I60&gt;0),MIN($I60/$I$50,$I60-SUM($W60:AD60)),0)</f>
        <v>0</v>
      </c>
      <c r="AF60" s="54">
        <f>IF(AND(YEAR(AF$4)&gt;YEAR($E60),$I60&gt;0),MIN($I60/$I$50,$I60-SUM($W60:AE60)),0)</f>
        <v>0</v>
      </c>
      <c r="AG60" s="54">
        <f>IF(AND(YEAR(AG$4)&gt;YEAR($E60),$I60&gt;0),MIN($I60/$I$50,$I60-SUM($W60:AF60)),0)</f>
        <v>0</v>
      </c>
      <c r="AH60" s="54">
        <f>IF(AND(YEAR(AH$4)&gt;YEAR($E60),$I60&gt;0),MIN($I60/$I$50,$I60-SUM($W60:AG60)),0)</f>
        <v>0</v>
      </c>
      <c r="AI60" s="54">
        <f>IF(AND(YEAR(AI$4)&gt;YEAR($E60),$I60&gt;0),MIN($I60/$I$50,$I60-SUM($W60:AH60)),0)</f>
        <v>0</v>
      </c>
      <c r="AJ60" s="54">
        <f>IF(AND(YEAR(AJ$4)&gt;YEAR($E60),$I60&gt;0),MIN($I60/$I$50,$I60-SUM($W60:AI60)),0)</f>
        <v>0</v>
      </c>
      <c r="AK60" s="54">
        <f>IF(AND(YEAR(AK$4)&gt;YEAR($E60),$I60&gt;0),MIN($I60/$I$50,$I60-SUM($W60:AJ60)),0)</f>
        <v>0</v>
      </c>
      <c r="AL60" s="54">
        <f>IF(AND(YEAR(AL$4)&gt;YEAR($E60),$I60&gt;0),MIN($I60/$I$50,$I60-SUM($W60:AK60)),0)</f>
        <v>0</v>
      </c>
      <c r="AM60" s="54">
        <f>IF(AND(YEAR(AM$4)&gt;YEAR($E60),$I60&gt;0),MIN($I60/$I$50,$I60-SUM($W60:AL60)),0)</f>
        <v>0</v>
      </c>
      <c r="AN60" s="54">
        <f>IF(AND(YEAR(AN$4)&gt;YEAR($E60),$I60&gt;0),MIN($I60/$I$50,$I60-SUM($W60:AM60)),0)</f>
        <v>0</v>
      </c>
      <c r="AO60" s="54">
        <f>IF(AND(YEAR(AO$4)&gt;YEAR($E60),$I60&gt;0),MIN($I60/$I$50,$I60-SUM($W60:AN60)),0)</f>
        <v>0</v>
      </c>
      <c r="AP60" s="54">
        <f>IF(AND(YEAR(AP$4)&gt;YEAR($E60),$I60&gt;0),MIN($I60/$I$50,$I60-SUM($W60:AO60)),0)</f>
        <v>0</v>
      </c>
      <c r="AQ60" s="54">
        <f>IF(AND(YEAR(AQ$4)&gt;YEAR($E60),$I60&gt;0),MIN($I60/$I$50,$I60-SUM($W60:AP60)),0)</f>
        <v>0</v>
      </c>
      <c r="AR60" s="54">
        <f>IF(AND(YEAR(AR$4)&gt;YEAR($E60),$I60&gt;0),MIN($I60/$I$50,$I60-SUM($W60:AQ60)),0)</f>
        <v>0</v>
      </c>
      <c r="AS60" s="54">
        <f>IF(AND(YEAR(AS$4)&gt;YEAR($E60),$I60&gt;0),MIN($I60/$I$50,$I60-SUM($W60:AR60)),0)</f>
        <v>0</v>
      </c>
      <c r="AT60" s="87">
        <f>IF(AND(YEAR(AT$4)&gt;YEAR($E60),$I60&gt;0),MIN($I60/$I$50,$I60-SUM($W60:AS60)),0)</f>
        <v>0</v>
      </c>
      <c r="AU60" s="143">
        <f>IF(AND(YEAR(AU$4)&gt;YEAR($E60),$I60&gt;0),MIN($I60/$I$50,$I60-SUM($W60:AT60)),0)</f>
        <v>0</v>
      </c>
      <c r="AV60" s="54">
        <f>IF(AND(YEAR(AV$4)&gt;YEAR($E60),$I60&gt;0),MIN($I60/$I$50,$I60-SUM($W60:AU60)),0)</f>
        <v>0</v>
      </c>
      <c r="AW60" s="54">
        <f>IF(AND(YEAR(AW$4)&gt;YEAR($E60),$I60&gt;0),MIN($I60/$I$50,$I60-SUM($W60:AV60)),0)</f>
        <v>0</v>
      </c>
      <c r="AX60" s="54">
        <f>IF(AND(YEAR(AX$4)&gt;YEAR($E60),$I60&gt;0),MIN($I60/$I$50,$I60-SUM($W60:AW60)),0)</f>
        <v>0</v>
      </c>
      <c r="AY60" s="54">
        <f>IF(AND(YEAR(AY$4)&gt;YEAR($E60),$I60&gt;0),MIN($I60/$I$50,$I60-SUM($W60:AX60)),0)</f>
        <v>0</v>
      </c>
      <c r="AZ60"/>
      <c r="BA60" s="44" t="str">
        <f t="shared" ca="1" si="5"/>
        <v>Calculations_SO</v>
      </c>
      <c r="BB60" s="1" t="str">
        <f t="shared" si="6"/>
        <v>Depreciation</v>
      </c>
      <c r="BC60" s="116" t="str">
        <f t="shared" si="7"/>
        <v>Straight line depreciation</v>
      </c>
    </row>
    <row r="61" spans="1:59" s="5" customFormat="1" ht="14.5">
      <c r="A61"/>
      <c r="B61" s="6"/>
      <c r="C61" s="6"/>
      <c r="D61" s="43"/>
      <c r="E61" s="109">
        <v>39538</v>
      </c>
      <c r="F61" s="43"/>
      <c r="G61" s="43" t="str">
        <f t="shared" si="4"/>
        <v>£m 23/24 prices</v>
      </c>
      <c r="H61" s="43"/>
      <c r="I61" s="43">
        <v>17.958820591449118</v>
      </c>
      <c r="J61" s="43" t="s">
        <v>10</v>
      </c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54">
        <f>IF(AND(YEAR(X$4)&gt;YEAR($E61),$I61&gt;0),MIN($I61/$I$50,$I61-SUM($W61:W61)),0)</f>
        <v>0</v>
      </c>
      <c r="Y61" s="54">
        <f>IF(AND(YEAR(Y$4)&gt;YEAR($E61),$I61&gt;0),MIN($I61/$I$50,$I61-SUM($W61:X61)),0)</f>
        <v>0</v>
      </c>
      <c r="Z61" s="54">
        <f>IF(AND(YEAR(Z$4)&gt;YEAR($E61),$I61&gt;0),MIN($I61/$I$50,$I61-SUM($W61:Y61)),0)</f>
        <v>0</v>
      </c>
      <c r="AA61" s="54">
        <f>IF(AND(YEAR(AA$4)&gt;YEAR($E61),$I61&gt;0),MIN($I61/$I$50,$I61-SUM($W61:Z61)),0)</f>
        <v>0</v>
      </c>
      <c r="AB61" s="54">
        <f>IF(AND(YEAR(AB$4)&gt;YEAR($E61),$I61&gt;0),MIN($I61/$I$50,$I61-SUM($W61:AA61)),0)</f>
        <v>0</v>
      </c>
      <c r="AC61" s="54">
        <f>IF(AND(YEAR(AC$4)&gt;YEAR($E61),$I61&gt;0),MIN($I61/$I$50,$I61-SUM($W61:AB61)),0)</f>
        <v>2.5655457987784454</v>
      </c>
      <c r="AD61" s="54">
        <f>IF(AND(YEAR(AD$4)&gt;YEAR($E61),$I61&gt;0),MIN($I61/$I$50,$I61-SUM($W61:AC61)),0)</f>
        <v>2.5655457987784454</v>
      </c>
      <c r="AE61" s="54">
        <f>IF(AND(YEAR(AE$4)&gt;YEAR($E61),$I61&gt;0),MIN($I61/$I$50,$I61-SUM($W61:AD61)),0)</f>
        <v>2.5655457987784454</v>
      </c>
      <c r="AF61" s="54">
        <f>IF(AND(YEAR(AF$4)&gt;YEAR($E61),$I61&gt;0),MIN($I61/$I$50,$I61-SUM($W61:AE61)),0)</f>
        <v>2.5655457987784454</v>
      </c>
      <c r="AG61" s="54">
        <f>IF(AND(YEAR(AG$4)&gt;YEAR($E61),$I61&gt;0),MIN($I61/$I$50,$I61-SUM($W61:AF61)),0)</f>
        <v>2.5655457987784454</v>
      </c>
      <c r="AH61" s="54">
        <f>IF(AND(YEAR(AH$4)&gt;YEAR($E61),$I61&gt;0),MIN($I61/$I$50,$I61-SUM($W61:AG61)),0)</f>
        <v>2.5655457987784454</v>
      </c>
      <c r="AI61" s="54">
        <f>IF(AND(YEAR(AI$4)&gt;YEAR($E61),$I61&gt;0),MIN($I61/$I$50,$I61-SUM($W61:AH61)),0)</f>
        <v>2.5655457987784454</v>
      </c>
      <c r="AJ61" s="54">
        <f>IF(AND(YEAR(AJ$4)&gt;YEAR($E61),$I61&gt;0),MIN($I61/$I$50,$I61-SUM($W61:AI61)),0)</f>
        <v>3.5527136788005009E-15</v>
      </c>
      <c r="AK61" s="54">
        <f>IF(AND(YEAR(AK$4)&gt;YEAR($E61),$I61&gt;0),MIN($I61/$I$50,$I61-SUM($W61:AJ61)),0)</f>
        <v>0</v>
      </c>
      <c r="AL61" s="54">
        <f>IF(AND(YEAR(AL$4)&gt;YEAR($E61),$I61&gt;0),MIN($I61/$I$50,$I61-SUM($W61:AK61)),0)</f>
        <v>0</v>
      </c>
      <c r="AM61" s="54">
        <f>IF(AND(YEAR(AM$4)&gt;YEAR($E61),$I61&gt;0),MIN($I61/$I$50,$I61-SUM($W61:AL61)),0)</f>
        <v>0</v>
      </c>
      <c r="AN61" s="54">
        <f>IF(AND(YEAR(AN$4)&gt;YEAR($E61),$I61&gt;0),MIN($I61/$I$50,$I61-SUM($W61:AM61)),0)</f>
        <v>0</v>
      </c>
      <c r="AO61" s="54">
        <f>IF(AND(YEAR(AO$4)&gt;YEAR($E61),$I61&gt;0),MIN($I61/$I$50,$I61-SUM($W61:AN61)),0)</f>
        <v>0</v>
      </c>
      <c r="AP61" s="54">
        <f>IF(AND(YEAR(AP$4)&gt;YEAR($E61),$I61&gt;0),MIN($I61/$I$50,$I61-SUM($W61:AO61)),0)</f>
        <v>0</v>
      </c>
      <c r="AQ61" s="54">
        <f>IF(AND(YEAR(AQ$4)&gt;YEAR($E61),$I61&gt;0),MIN($I61/$I$50,$I61-SUM($W61:AP61)),0)</f>
        <v>0</v>
      </c>
      <c r="AR61" s="54">
        <f>IF(AND(YEAR(AR$4)&gt;YEAR($E61),$I61&gt;0),MIN($I61/$I$50,$I61-SUM($W61:AQ61)),0)</f>
        <v>0</v>
      </c>
      <c r="AS61" s="54">
        <f>IF(AND(YEAR(AS$4)&gt;YEAR($E61),$I61&gt;0),MIN($I61/$I$50,$I61-SUM($W61:AR61)),0)</f>
        <v>0</v>
      </c>
      <c r="AT61" s="87">
        <f>IF(AND(YEAR(AT$4)&gt;YEAR($E61),$I61&gt;0),MIN($I61/$I$50,$I61-SUM($W61:AS61)),0)</f>
        <v>0</v>
      </c>
      <c r="AU61" s="143">
        <f>IF(AND(YEAR(AU$4)&gt;YEAR($E61),$I61&gt;0),MIN($I61/$I$50,$I61-SUM($W61:AT61)),0)</f>
        <v>0</v>
      </c>
      <c r="AV61" s="54">
        <f>IF(AND(YEAR(AV$4)&gt;YEAR($E61),$I61&gt;0),MIN($I61/$I$50,$I61-SUM($W61:AU61)),0)</f>
        <v>0</v>
      </c>
      <c r="AW61" s="54">
        <f>IF(AND(YEAR(AW$4)&gt;YEAR($E61),$I61&gt;0),MIN($I61/$I$50,$I61-SUM($W61:AV61)),0)</f>
        <v>0</v>
      </c>
      <c r="AX61" s="54">
        <f>IF(AND(YEAR(AX$4)&gt;YEAR($E61),$I61&gt;0),MIN($I61/$I$50,$I61-SUM($W61:AW61)),0)</f>
        <v>0</v>
      </c>
      <c r="AY61" s="54">
        <f>IF(AND(YEAR(AY$4)&gt;YEAR($E61),$I61&gt;0),MIN($I61/$I$50,$I61-SUM($W61:AX61)),0)</f>
        <v>0</v>
      </c>
      <c r="AZ61"/>
      <c r="BA61" s="44" t="str">
        <f t="shared" ca="1" si="5"/>
        <v>Calculations_SO</v>
      </c>
      <c r="BB61" s="1" t="str">
        <f t="shared" si="6"/>
        <v>Depreciation</v>
      </c>
      <c r="BC61" s="116" t="str">
        <f t="shared" si="7"/>
        <v>Straight line depreciation</v>
      </c>
    </row>
    <row r="62" spans="1:59" s="5" customFormat="1" ht="14.5">
      <c r="A62"/>
      <c r="B62" s="6"/>
      <c r="C62" s="6"/>
      <c r="D62" s="43"/>
      <c r="E62" s="109">
        <v>39903</v>
      </c>
      <c r="F62" s="43"/>
      <c r="G62" s="43" t="str">
        <f t="shared" si="4"/>
        <v>£m 23/24 prices</v>
      </c>
      <c r="H62" s="43"/>
      <c r="I62" s="43">
        <v>12.438928625409169</v>
      </c>
      <c r="J62" s="43" t="s">
        <v>10</v>
      </c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54">
        <f>IF(AND(YEAR(X$4)&gt;YEAR($E62),$I62&gt;0),MIN($I62/$I$50,$I62-SUM($W62:W62)),0)</f>
        <v>0</v>
      </c>
      <c r="Y62" s="54">
        <f>IF(AND(YEAR(Y$4)&gt;YEAR($E62),$I62&gt;0),MIN($I62/$I$50,$I62-SUM($W62:X62)),0)</f>
        <v>0</v>
      </c>
      <c r="Z62" s="54">
        <f>IF(AND(YEAR(Z$4)&gt;YEAR($E62),$I62&gt;0),MIN($I62/$I$50,$I62-SUM($W62:Y62)),0)</f>
        <v>0</v>
      </c>
      <c r="AA62" s="54">
        <f>IF(AND(YEAR(AA$4)&gt;YEAR($E62),$I62&gt;0),MIN($I62/$I$50,$I62-SUM($W62:Z62)),0)</f>
        <v>0</v>
      </c>
      <c r="AB62" s="54">
        <f>IF(AND(YEAR(AB$4)&gt;YEAR($E62),$I62&gt;0),MIN($I62/$I$50,$I62-SUM($W62:AA62)),0)</f>
        <v>0</v>
      </c>
      <c r="AC62" s="54">
        <f>IF(AND(YEAR(AC$4)&gt;YEAR($E62),$I62&gt;0),MIN($I62/$I$50,$I62-SUM($W62:AB62)),0)</f>
        <v>0</v>
      </c>
      <c r="AD62" s="54">
        <f>IF(AND(YEAR(AD$4)&gt;YEAR($E62),$I62&gt;0),MIN($I62/$I$50,$I62-SUM($W62:AC62)),0)</f>
        <v>1.7769898036298812</v>
      </c>
      <c r="AE62" s="54">
        <f>IF(AND(YEAR(AE$4)&gt;YEAR($E62),$I62&gt;0),MIN($I62/$I$50,$I62-SUM($W62:AD62)),0)</f>
        <v>1.7769898036298812</v>
      </c>
      <c r="AF62" s="54">
        <f>IF(AND(YEAR(AF$4)&gt;YEAR($E62),$I62&gt;0),MIN($I62/$I$50,$I62-SUM($W62:AE62)),0)</f>
        <v>1.7769898036298812</v>
      </c>
      <c r="AG62" s="54">
        <f>IF(AND(YEAR(AG$4)&gt;YEAR($E62),$I62&gt;0),MIN($I62/$I$50,$I62-SUM($W62:AF62)),0)</f>
        <v>1.7769898036298812</v>
      </c>
      <c r="AH62" s="54">
        <f>IF(AND(YEAR(AH$4)&gt;YEAR($E62),$I62&gt;0),MIN($I62/$I$50,$I62-SUM($W62:AG62)),0)</f>
        <v>1.7769898036298812</v>
      </c>
      <c r="AI62" s="54">
        <f>IF(AND(YEAR(AI$4)&gt;YEAR($E62),$I62&gt;0),MIN($I62/$I$50,$I62-SUM($W62:AH62)),0)</f>
        <v>1.7769898036298812</v>
      </c>
      <c r="AJ62" s="54">
        <f>IF(AND(YEAR(AJ$4)&gt;YEAR($E62),$I62&gt;0),MIN($I62/$I$50,$I62-SUM($W62:AI62)),0)</f>
        <v>1.7769898036298812</v>
      </c>
      <c r="AK62" s="54">
        <f>IF(AND(YEAR(AK$4)&gt;YEAR($E62),$I62&gt;0),MIN($I62/$I$50,$I62-SUM($W62:AJ62)),0)</f>
        <v>0</v>
      </c>
      <c r="AL62" s="54">
        <f>IF(AND(YEAR(AL$4)&gt;YEAR($E62),$I62&gt;0),MIN($I62/$I$50,$I62-SUM($W62:AK62)),0)</f>
        <v>0</v>
      </c>
      <c r="AM62" s="54">
        <f>IF(AND(YEAR(AM$4)&gt;YEAR($E62),$I62&gt;0),MIN($I62/$I$50,$I62-SUM($W62:AL62)),0)</f>
        <v>0</v>
      </c>
      <c r="AN62" s="54">
        <f>IF(AND(YEAR(AN$4)&gt;YEAR($E62),$I62&gt;0),MIN($I62/$I$50,$I62-SUM($W62:AM62)),0)</f>
        <v>0</v>
      </c>
      <c r="AO62" s="54">
        <f>IF(AND(YEAR(AO$4)&gt;YEAR($E62),$I62&gt;0),MIN($I62/$I$50,$I62-SUM($W62:AN62)),0)</f>
        <v>0</v>
      </c>
      <c r="AP62" s="54">
        <f>IF(AND(YEAR(AP$4)&gt;YEAR($E62),$I62&gt;0),MIN($I62/$I$50,$I62-SUM($W62:AO62)),0)</f>
        <v>0</v>
      </c>
      <c r="AQ62" s="54">
        <f>IF(AND(YEAR(AQ$4)&gt;YEAR($E62),$I62&gt;0),MIN($I62/$I$50,$I62-SUM($W62:AP62)),0)</f>
        <v>0</v>
      </c>
      <c r="AR62" s="54">
        <f>IF(AND(YEAR(AR$4)&gt;YEAR($E62),$I62&gt;0),MIN($I62/$I$50,$I62-SUM($W62:AQ62)),0)</f>
        <v>0</v>
      </c>
      <c r="AS62" s="54">
        <f>IF(AND(YEAR(AS$4)&gt;YEAR($E62),$I62&gt;0),MIN($I62/$I$50,$I62-SUM($W62:AR62)),0)</f>
        <v>0</v>
      </c>
      <c r="AT62" s="87">
        <f>IF(AND(YEAR(AT$4)&gt;YEAR($E62),$I62&gt;0),MIN($I62/$I$50,$I62-SUM($W62:AS62)),0)</f>
        <v>0</v>
      </c>
      <c r="AU62" s="143">
        <f>IF(AND(YEAR(AU$4)&gt;YEAR($E62),$I62&gt;0),MIN($I62/$I$50,$I62-SUM($W62:AT62)),0)</f>
        <v>0</v>
      </c>
      <c r="AV62" s="54">
        <f>IF(AND(YEAR(AV$4)&gt;YEAR($E62),$I62&gt;0),MIN($I62/$I$50,$I62-SUM($W62:AU62)),0)</f>
        <v>0</v>
      </c>
      <c r="AW62" s="54">
        <f>IF(AND(YEAR(AW$4)&gt;YEAR($E62),$I62&gt;0),MIN($I62/$I$50,$I62-SUM($W62:AV62)),0)</f>
        <v>0</v>
      </c>
      <c r="AX62" s="54">
        <f>IF(AND(YEAR(AX$4)&gt;YEAR($E62),$I62&gt;0),MIN($I62/$I$50,$I62-SUM($W62:AW62)),0)</f>
        <v>0</v>
      </c>
      <c r="AY62" s="54">
        <f>IF(AND(YEAR(AY$4)&gt;YEAR($E62),$I62&gt;0),MIN($I62/$I$50,$I62-SUM($W62:AX62)),0)</f>
        <v>0</v>
      </c>
      <c r="AZ62"/>
      <c r="BA62" s="44" t="str">
        <f t="shared" ca="1" si="5"/>
        <v>Calculations_SO</v>
      </c>
      <c r="BB62" s="1" t="str">
        <f t="shared" si="6"/>
        <v>Depreciation</v>
      </c>
      <c r="BC62" s="116" t="str">
        <f t="shared" si="7"/>
        <v>Straight line depreciation</v>
      </c>
    </row>
    <row r="63" spans="1:59" s="5" customFormat="1" ht="14.5">
      <c r="A63"/>
      <c r="B63" s="6"/>
      <c r="C63" s="6"/>
      <c r="D63" s="43"/>
      <c r="E63" s="109">
        <v>40268</v>
      </c>
      <c r="F63" s="43"/>
      <c r="G63" s="43" t="str">
        <f t="shared" si="4"/>
        <v>£m 23/24 prices</v>
      </c>
      <c r="H63" s="43"/>
      <c r="I63" s="43">
        <v>16.561981266218712</v>
      </c>
      <c r="J63" s="43" t="s">
        <v>10</v>
      </c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54">
        <f>IF(AND(YEAR(X$4)&gt;YEAR($E63),$I63&gt;0),MIN($I63/$I$50,$I63-SUM($W63:W63)),0)</f>
        <v>0</v>
      </c>
      <c r="Y63" s="54">
        <f>IF(AND(YEAR(Y$4)&gt;YEAR($E63),$I63&gt;0),MIN($I63/$I$50,$I63-SUM($W63:X63)),0)</f>
        <v>0</v>
      </c>
      <c r="Z63" s="54">
        <f>IF(AND(YEAR(Z$4)&gt;YEAR($E63),$I63&gt;0),MIN($I63/$I$50,$I63-SUM($W63:Y63)),0)</f>
        <v>0</v>
      </c>
      <c r="AA63" s="54">
        <f>IF(AND(YEAR(AA$4)&gt;YEAR($E63),$I63&gt;0),MIN($I63/$I$50,$I63-SUM($W63:Z63)),0)</f>
        <v>0</v>
      </c>
      <c r="AB63" s="54">
        <f>IF(AND(YEAR(AB$4)&gt;YEAR($E63),$I63&gt;0),MIN($I63/$I$50,$I63-SUM($W63:AA63)),0)</f>
        <v>0</v>
      </c>
      <c r="AC63" s="54">
        <f>IF(AND(YEAR(AC$4)&gt;YEAR($E63),$I63&gt;0),MIN($I63/$I$50,$I63-SUM($W63:AB63)),0)</f>
        <v>0</v>
      </c>
      <c r="AD63" s="54">
        <f>IF(AND(YEAR(AD$4)&gt;YEAR($E63),$I63&gt;0),MIN($I63/$I$50,$I63-SUM($W63:AC63)),0)</f>
        <v>0</v>
      </c>
      <c r="AE63" s="54">
        <f>IF(AND(YEAR(AE$4)&gt;YEAR($E63),$I63&gt;0),MIN($I63/$I$50,$I63-SUM($W63:AD63)),0)</f>
        <v>2.3659973237455305</v>
      </c>
      <c r="AF63" s="54">
        <f>IF(AND(YEAR(AF$4)&gt;YEAR($E63),$I63&gt;0),MIN($I63/$I$50,$I63-SUM($W63:AE63)),0)</f>
        <v>2.3659973237455305</v>
      </c>
      <c r="AG63" s="54">
        <f>IF(AND(YEAR(AG$4)&gt;YEAR($E63),$I63&gt;0),MIN($I63/$I$50,$I63-SUM($W63:AF63)),0)</f>
        <v>2.3659973237455305</v>
      </c>
      <c r="AH63" s="54">
        <f>IF(AND(YEAR(AH$4)&gt;YEAR($E63),$I63&gt;0),MIN($I63/$I$50,$I63-SUM($W63:AG63)),0)</f>
        <v>2.3659973237455305</v>
      </c>
      <c r="AI63" s="54">
        <f>IF(AND(YEAR(AI$4)&gt;YEAR($E63),$I63&gt;0),MIN($I63/$I$50,$I63-SUM($W63:AH63)),0)</f>
        <v>2.3659973237455305</v>
      </c>
      <c r="AJ63" s="54">
        <f>IF(AND(YEAR(AJ$4)&gt;YEAR($E63),$I63&gt;0),MIN($I63/$I$50,$I63-SUM($W63:AI63)),0)</f>
        <v>2.3659973237455305</v>
      </c>
      <c r="AK63" s="54">
        <f>IF(AND(YEAR(AK$4)&gt;YEAR($E63),$I63&gt;0),MIN($I63/$I$50,$I63-SUM($W63:AJ63)),0)</f>
        <v>2.3659973237455301</v>
      </c>
      <c r="AL63" s="54">
        <f>IF(AND(YEAR(AL$4)&gt;YEAR($E63),$I63&gt;0),MIN($I63/$I$50,$I63-SUM($W63:AK63)),0)</f>
        <v>0</v>
      </c>
      <c r="AM63" s="54">
        <f>IF(AND(YEAR(AM$4)&gt;YEAR($E63),$I63&gt;0),MIN($I63/$I$50,$I63-SUM($W63:AL63)),0)</f>
        <v>0</v>
      </c>
      <c r="AN63" s="54">
        <f>IF(AND(YEAR(AN$4)&gt;YEAR($E63),$I63&gt;0),MIN($I63/$I$50,$I63-SUM($W63:AM63)),0)</f>
        <v>0</v>
      </c>
      <c r="AO63" s="54">
        <f>IF(AND(YEAR(AO$4)&gt;YEAR($E63),$I63&gt;0),MIN($I63/$I$50,$I63-SUM($W63:AN63)),0)</f>
        <v>0</v>
      </c>
      <c r="AP63" s="54">
        <f>IF(AND(YEAR(AP$4)&gt;YEAR($E63),$I63&gt;0),MIN($I63/$I$50,$I63-SUM($W63:AO63)),0)</f>
        <v>0</v>
      </c>
      <c r="AQ63" s="54">
        <f>IF(AND(YEAR(AQ$4)&gt;YEAR($E63),$I63&gt;0),MIN($I63/$I$50,$I63-SUM($W63:AP63)),0)</f>
        <v>0</v>
      </c>
      <c r="AR63" s="54">
        <f>IF(AND(YEAR(AR$4)&gt;YEAR($E63),$I63&gt;0),MIN($I63/$I$50,$I63-SUM($W63:AQ63)),0)</f>
        <v>0</v>
      </c>
      <c r="AS63" s="54">
        <f>IF(AND(YEAR(AS$4)&gt;YEAR($E63),$I63&gt;0),MIN($I63/$I$50,$I63-SUM($W63:AR63)),0)</f>
        <v>0</v>
      </c>
      <c r="AT63" s="87">
        <f>IF(AND(YEAR(AT$4)&gt;YEAR($E63),$I63&gt;0),MIN($I63/$I$50,$I63-SUM($W63:AS63)),0)</f>
        <v>0</v>
      </c>
      <c r="AU63" s="143">
        <f>IF(AND(YEAR(AU$4)&gt;YEAR($E63),$I63&gt;0),MIN($I63/$I$50,$I63-SUM($W63:AT63)),0)</f>
        <v>0</v>
      </c>
      <c r="AV63" s="54">
        <f>IF(AND(YEAR(AV$4)&gt;YEAR($E63),$I63&gt;0),MIN($I63/$I$50,$I63-SUM($W63:AU63)),0)</f>
        <v>0</v>
      </c>
      <c r="AW63" s="54">
        <f>IF(AND(YEAR(AW$4)&gt;YEAR($E63),$I63&gt;0),MIN($I63/$I$50,$I63-SUM($W63:AV63)),0)</f>
        <v>0</v>
      </c>
      <c r="AX63" s="54">
        <f>IF(AND(YEAR(AX$4)&gt;YEAR($E63),$I63&gt;0),MIN($I63/$I$50,$I63-SUM($W63:AW63)),0)</f>
        <v>0</v>
      </c>
      <c r="AY63" s="54">
        <f>IF(AND(YEAR(AY$4)&gt;YEAR($E63),$I63&gt;0),MIN($I63/$I$50,$I63-SUM($W63:AX63)),0)</f>
        <v>0</v>
      </c>
      <c r="AZ63"/>
      <c r="BA63" s="44" t="str">
        <f t="shared" ca="1" si="5"/>
        <v>Calculations_SO</v>
      </c>
      <c r="BB63" s="1" t="str">
        <f t="shared" si="6"/>
        <v>Depreciation</v>
      </c>
      <c r="BC63" s="116" t="str">
        <f t="shared" si="7"/>
        <v>Straight line depreciation</v>
      </c>
    </row>
    <row r="64" spans="1:59" s="5" customFormat="1" ht="14.5">
      <c r="A64"/>
      <c r="B64" s="6"/>
      <c r="C64" s="6"/>
      <c r="D64" s="43"/>
      <c r="E64" s="109">
        <v>40633</v>
      </c>
      <c r="F64" s="43"/>
      <c r="G64" s="43" t="str">
        <f t="shared" si="4"/>
        <v>£m 23/24 prices</v>
      </c>
      <c r="H64" s="43"/>
      <c r="I64" s="43">
        <v>15.051324035092895</v>
      </c>
      <c r="J64" s="43" t="s">
        <v>10</v>
      </c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54">
        <f>IF(AND(YEAR(X$4)&gt;YEAR($E64),$I64&gt;0),MIN($I64/$I$50,$I64-SUM($W64:W64)),0)</f>
        <v>0</v>
      </c>
      <c r="Y64" s="54">
        <f>IF(AND(YEAR(Y$4)&gt;YEAR($E64),$I64&gt;0),MIN($I64/$I$50,$I64-SUM($W64:X64)),0)</f>
        <v>0</v>
      </c>
      <c r="Z64" s="54">
        <f>IF(AND(YEAR(Z$4)&gt;YEAR($E64),$I64&gt;0),MIN($I64/$I$50,$I64-SUM($W64:Y64)),0)</f>
        <v>0</v>
      </c>
      <c r="AA64" s="54">
        <f>IF(AND(YEAR(AA$4)&gt;YEAR($E64),$I64&gt;0),MIN($I64/$I$50,$I64-SUM($W64:Z64)),0)</f>
        <v>0</v>
      </c>
      <c r="AB64" s="54">
        <f>IF(AND(YEAR(AB$4)&gt;YEAR($E64),$I64&gt;0),MIN($I64/$I$50,$I64-SUM($W64:AA64)),0)</f>
        <v>0</v>
      </c>
      <c r="AC64" s="54">
        <f>IF(AND(YEAR(AC$4)&gt;YEAR($E64),$I64&gt;0),MIN($I64/$I$50,$I64-SUM($W64:AB64)),0)</f>
        <v>0</v>
      </c>
      <c r="AD64" s="54">
        <f>IF(AND(YEAR(AD$4)&gt;YEAR($E64),$I64&gt;0),MIN($I64/$I$50,$I64-SUM($W64:AC64)),0)</f>
        <v>0</v>
      </c>
      <c r="AE64" s="54">
        <f>IF(AND(YEAR(AE$4)&gt;YEAR($E64),$I64&gt;0),MIN($I64/$I$50,$I64-SUM($W64:AD64)),0)</f>
        <v>0</v>
      </c>
      <c r="AF64" s="54">
        <f>IF(AND(YEAR(AF$4)&gt;YEAR($E64),$I64&gt;0),MIN($I64/$I$50,$I64-SUM($W64:AE64)),0)</f>
        <v>2.1501891478704134</v>
      </c>
      <c r="AG64" s="54">
        <f>IF(AND(YEAR(AG$4)&gt;YEAR($E64),$I64&gt;0),MIN($I64/$I$50,$I64-SUM($W64:AF64)),0)</f>
        <v>2.1501891478704134</v>
      </c>
      <c r="AH64" s="54">
        <f>IF(AND(YEAR(AH$4)&gt;YEAR($E64),$I64&gt;0),MIN($I64/$I$50,$I64-SUM($W64:AG64)),0)</f>
        <v>2.1501891478704134</v>
      </c>
      <c r="AI64" s="54">
        <f>IF(AND(YEAR(AI$4)&gt;YEAR($E64),$I64&gt;0),MIN($I64/$I$50,$I64-SUM($W64:AH64)),0)</f>
        <v>2.1501891478704134</v>
      </c>
      <c r="AJ64" s="54">
        <f>IF(AND(YEAR(AJ$4)&gt;YEAR($E64),$I64&gt;0),MIN($I64/$I$50,$I64-SUM($W64:AI64)),0)</f>
        <v>2.1501891478704134</v>
      </c>
      <c r="AK64" s="54">
        <f>IF(AND(YEAR(AK$4)&gt;YEAR($E64),$I64&gt;0),MIN($I64/$I$50,$I64-SUM($W64:AJ64)),0)</f>
        <v>2.1501891478704134</v>
      </c>
      <c r="AL64" s="54">
        <f>IF(AND(YEAR(AL$4)&gt;YEAR($E64),$I64&gt;0),MIN($I64/$I$50,$I64-SUM($W64:AK64)),0)</f>
        <v>2.1501891478704134</v>
      </c>
      <c r="AM64" s="54">
        <f>IF(AND(YEAR(AM$4)&gt;YEAR($E64),$I64&gt;0),MIN($I64/$I$50,$I64-SUM($W64:AL64)),0)</f>
        <v>0</v>
      </c>
      <c r="AN64" s="54">
        <f>IF(AND(YEAR(AN$4)&gt;YEAR($E64),$I64&gt;0),MIN($I64/$I$50,$I64-SUM($W64:AM64)),0)</f>
        <v>0</v>
      </c>
      <c r="AO64" s="54">
        <f>IF(AND(YEAR(AO$4)&gt;YEAR($E64),$I64&gt;0),MIN($I64/$I$50,$I64-SUM($W64:AN64)),0)</f>
        <v>0</v>
      </c>
      <c r="AP64" s="54">
        <f>IF(AND(YEAR(AP$4)&gt;YEAR($E64),$I64&gt;0),MIN($I64/$I$50,$I64-SUM($W64:AO64)),0)</f>
        <v>0</v>
      </c>
      <c r="AQ64" s="54">
        <f>IF(AND(YEAR(AQ$4)&gt;YEAR($E64),$I64&gt;0),MIN($I64/$I$50,$I64-SUM($W64:AP64)),0)</f>
        <v>0</v>
      </c>
      <c r="AR64" s="54">
        <f>IF(AND(YEAR(AR$4)&gt;YEAR($E64),$I64&gt;0),MIN($I64/$I$50,$I64-SUM($W64:AQ64)),0)</f>
        <v>0</v>
      </c>
      <c r="AS64" s="54">
        <f>IF(AND(YEAR(AS$4)&gt;YEAR($E64),$I64&gt;0),MIN($I64/$I$50,$I64-SUM($W64:AR64)),0)</f>
        <v>0</v>
      </c>
      <c r="AT64" s="87">
        <f>IF(AND(YEAR(AT$4)&gt;YEAR($E64),$I64&gt;0),MIN($I64/$I$50,$I64-SUM($W64:AS64)),0)</f>
        <v>0</v>
      </c>
      <c r="AU64" s="143">
        <f>IF(AND(YEAR(AU$4)&gt;YEAR($E64),$I64&gt;0),MIN($I64/$I$50,$I64-SUM($W64:AT64)),0)</f>
        <v>0</v>
      </c>
      <c r="AV64" s="54">
        <f>IF(AND(YEAR(AV$4)&gt;YEAR($E64),$I64&gt;0),MIN($I64/$I$50,$I64-SUM($W64:AU64)),0)</f>
        <v>0</v>
      </c>
      <c r="AW64" s="54">
        <f>IF(AND(YEAR(AW$4)&gt;YEAR($E64),$I64&gt;0),MIN($I64/$I$50,$I64-SUM($W64:AV64)),0)</f>
        <v>0</v>
      </c>
      <c r="AX64" s="54">
        <f>IF(AND(YEAR(AX$4)&gt;YEAR($E64),$I64&gt;0),MIN($I64/$I$50,$I64-SUM($W64:AW64)),0)</f>
        <v>0</v>
      </c>
      <c r="AY64" s="54">
        <f>IF(AND(YEAR(AY$4)&gt;YEAR($E64),$I64&gt;0),MIN($I64/$I$50,$I64-SUM($W64:AX64)),0)</f>
        <v>0</v>
      </c>
      <c r="AZ64"/>
      <c r="BA64" s="44" t="str">
        <f t="shared" ca="1" si="5"/>
        <v>Calculations_SO</v>
      </c>
      <c r="BB64" s="1" t="str">
        <f t="shared" si="6"/>
        <v>Depreciation</v>
      </c>
      <c r="BC64" s="116" t="str">
        <f t="shared" si="7"/>
        <v>Straight line depreciation</v>
      </c>
    </row>
    <row r="65" spans="1:55" s="5" customFormat="1" ht="14.5">
      <c r="A65"/>
      <c r="B65" s="6"/>
      <c r="C65" s="6"/>
      <c r="D65" s="43"/>
      <c r="E65" s="109">
        <v>40999</v>
      </c>
      <c r="F65" s="43"/>
      <c r="G65" s="43" t="str">
        <f t="shared" si="4"/>
        <v>£m 23/24 prices</v>
      </c>
      <c r="H65" s="43"/>
      <c r="I65" s="43">
        <v>18.924538002288429</v>
      </c>
      <c r="J65" s="43" t="s">
        <v>10</v>
      </c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54">
        <f>IF(AND(YEAR(X$4)&gt;YEAR($E65),$I65&gt;0),MIN($I65/$I$50,$I65-SUM($W65:W65)),0)</f>
        <v>0</v>
      </c>
      <c r="Y65" s="54">
        <f>IF(AND(YEAR(Y$4)&gt;YEAR($E65),$I65&gt;0),MIN($I65/$I$50,$I65-SUM($W65:X65)),0)</f>
        <v>0</v>
      </c>
      <c r="Z65" s="54">
        <f>IF(AND(YEAR(Z$4)&gt;YEAR($E65),$I65&gt;0),MIN($I65/$I$50,$I65-SUM($W65:Y65)),0)</f>
        <v>0</v>
      </c>
      <c r="AA65" s="54">
        <f>IF(AND(YEAR(AA$4)&gt;YEAR($E65),$I65&gt;0),MIN($I65/$I$50,$I65-SUM($W65:Z65)),0)</f>
        <v>0</v>
      </c>
      <c r="AB65" s="54">
        <f>IF(AND(YEAR(AB$4)&gt;YEAR($E65),$I65&gt;0),MIN($I65/$I$50,$I65-SUM($W65:AA65)),0)</f>
        <v>0</v>
      </c>
      <c r="AC65" s="54">
        <f>IF(AND(YEAR(AC$4)&gt;YEAR($E65),$I65&gt;0),MIN($I65/$I$50,$I65-SUM($W65:AB65)),0)</f>
        <v>0</v>
      </c>
      <c r="AD65" s="54">
        <f>IF(AND(YEAR(AD$4)&gt;YEAR($E65),$I65&gt;0),MIN($I65/$I$50,$I65-SUM($W65:AC65)),0)</f>
        <v>0</v>
      </c>
      <c r="AE65" s="54">
        <f>IF(AND(YEAR(AE$4)&gt;YEAR($E65),$I65&gt;0),MIN($I65/$I$50,$I65-SUM($W65:AD65)),0)</f>
        <v>0</v>
      </c>
      <c r="AF65" s="54">
        <f>IF(AND(YEAR(AF$4)&gt;YEAR($E65),$I65&gt;0),MIN($I65/$I$50,$I65-SUM($W65:AE65)),0)</f>
        <v>0</v>
      </c>
      <c r="AG65" s="54">
        <f>IF(AND(YEAR(AG$4)&gt;YEAR($E65),$I65&gt;0),MIN($I65/$I$50,$I65-SUM($W65:AF65)),0)</f>
        <v>2.7035054288983469</v>
      </c>
      <c r="AH65" s="54">
        <f>IF(AND(YEAR(AH$4)&gt;YEAR($E65),$I65&gt;0),MIN($I65/$I$50,$I65-SUM($W65:AG65)),0)</f>
        <v>2.7035054288983469</v>
      </c>
      <c r="AI65" s="54">
        <f>IF(AND(YEAR(AI$4)&gt;YEAR($E65),$I65&gt;0),MIN($I65/$I$50,$I65-SUM($W65:AH65)),0)</f>
        <v>2.7035054288983469</v>
      </c>
      <c r="AJ65" s="54">
        <f>IF(AND(YEAR(AJ$4)&gt;YEAR($E65),$I65&gt;0),MIN($I65/$I$50,$I65-SUM($W65:AI65)),0)</f>
        <v>2.7035054288983469</v>
      </c>
      <c r="AK65" s="54">
        <f>IF(AND(YEAR(AK$4)&gt;YEAR($E65),$I65&gt;0),MIN($I65/$I$50,$I65-SUM($W65:AJ65)),0)</f>
        <v>2.7035054288983469</v>
      </c>
      <c r="AL65" s="54">
        <f>IF(AND(YEAR(AL$4)&gt;YEAR($E65),$I65&gt;0),MIN($I65/$I$50,$I65-SUM($W65:AK65)),0)</f>
        <v>2.7035054288983469</v>
      </c>
      <c r="AM65" s="54">
        <f>IF(AND(YEAR(AM$4)&gt;YEAR($E65),$I65&gt;0),MIN($I65/$I$50,$I65-SUM($W65:AL65)),0)</f>
        <v>2.7035054288983469</v>
      </c>
      <c r="AN65" s="54">
        <f>IF(AND(YEAR(AN$4)&gt;YEAR($E65),$I65&gt;0),MIN($I65/$I$50,$I65-SUM($W65:AM65)),0)</f>
        <v>3.5527136788005009E-15</v>
      </c>
      <c r="AO65" s="54">
        <f>IF(AND(YEAR(AO$4)&gt;YEAR($E65),$I65&gt;0),MIN($I65/$I$50,$I65-SUM($W65:AN65)),0)</f>
        <v>0</v>
      </c>
      <c r="AP65" s="54">
        <f>IF(AND(YEAR(AP$4)&gt;YEAR($E65),$I65&gt;0),MIN($I65/$I$50,$I65-SUM($W65:AO65)),0)</f>
        <v>0</v>
      </c>
      <c r="AQ65" s="54">
        <f>IF(AND(YEAR(AQ$4)&gt;YEAR($E65),$I65&gt;0),MIN($I65/$I$50,$I65-SUM($W65:AP65)),0)</f>
        <v>0</v>
      </c>
      <c r="AR65" s="54">
        <f>IF(AND(YEAR(AR$4)&gt;YEAR($E65),$I65&gt;0),MIN($I65/$I$50,$I65-SUM($W65:AQ65)),0)</f>
        <v>0</v>
      </c>
      <c r="AS65" s="54">
        <f>IF(AND(YEAR(AS$4)&gt;YEAR($E65),$I65&gt;0),MIN($I65/$I$50,$I65-SUM($W65:AR65)),0)</f>
        <v>0</v>
      </c>
      <c r="AT65" s="87">
        <f>IF(AND(YEAR(AT$4)&gt;YEAR($E65),$I65&gt;0),MIN($I65/$I$50,$I65-SUM($W65:AS65)),0)</f>
        <v>0</v>
      </c>
      <c r="AU65" s="143">
        <f>IF(AND(YEAR(AU$4)&gt;YEAR($E65),$I65&gt;0),MIN($I65/$I$50,$I65-SUM($W65:AT65)),0)</f>
        <v>0</v>
      </c>
      <c r="AV65" s="54">
        <f>IF(AND(YEAR(AV$4)&gt;YEAR($E65),$I65&gt;0),MIN($I65/$I$50,$I65-SUM($W65:AU65)),0)</f>
        <v>0</v>
      </c>
      <c r="AW65" s="54">
        <f>IF(AND(YEAR(AW$4)&gt;YEAR($E65),$I65&gt;0),MIN($I65/$I$50,$I65-SUM($W65:AV65)),0)</f>
        <v>0</v>
      </c>
      <c r="AX65" s="54">
        <f>IF(AND(YEAR(AX$4)&gt;YEAR($E65),$I65&gt;0),MIN($I65/$I$50,$I65-SUM($W65:AW65)),0)</f>
        <v>0</v>
      </c>
      <c r="AY65" s="54">
        <f>IF(AND(YEAR(AY$4)&gt;YEAR($E65),$I65&gt;0),MIN($I65/$I$50,$I65-SUM($W65:AX65)),0)</f>
        <v>0</v>
      </c>
      <c r="AZ65"/>
      <c r="BA65" s="44" t="str">
        <f t="shared" ca="1" si="5"/>
        <v>Calculations_SO</v>
      </c>
      <c r="BB65" s="1" t="str">
        <f t="shared" si="6"/>
        <v>Depreciation</v>
      </c>
      <c r="BC65" s="116" t="str">
        <f t="shared" si="7"/>
        <v>Straight line depreciation</v>
      </c>
    </row>
    <row r="66" spans="1:55" s="5" customFormat="1" ht="14.5">
      <c r="A66"/>
      <c r="B66" s="6"/>
      <c r="C66" s="6"/>
      <c r="D66" s="43"/>
      <c r="E66" s="109">
        <v>41364</v>
      </c>
      <c r="F66" s="43"/>
      <c r="G66" s="43" t="str">
        <f t="shared" si="4"/>
        <v>£m 23/24 prices</v>
      </c>
      <c r="H66" s="43"/>
      <c r="I66" s="43">
        <v>39.772014689532305</v>
      </c>
      <c r="J66" s="43" t="s">
        <v>10</v>
      </c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54">
        <f>IF(AND(YEAR(X$4)&gt;YEAR($E66),$I66&gt;0),MIN($I66/$I$50,$I66-SUM($W66:W66)),0)</f>
        <v>0</v>
      </c>
      <c r="Y66" s="54">
        <f>IF(AND(YEAR(Y$4)&gt;YEAR($E66),$I66&gt;0),MIN($I66/$I$50,$I66-SUM($W66:X66)),0)</f>
        <v>0</v>
      </c>
      <c r="Z66" s="54">
        <f>IF(AND(YEAR(Z$4)&gt;YEAR($E66),$I66&gt;0),MIN($I66/$I$50,$I66-SUM($W66:Y66)),0)</f>
        <v>0</v>
      </c>
      <c r="AA66" s="54">
        <f>IF(AND(YEAR(AA$4)&gt;YEAR($E66),$I66&gt;0),MIN($I66/$I$50,$I66-SUM($W66:Z66)),0)</f>
        <v>0</v>
      </c>
      <c r="AB66" s="54">
        <f>IF(AND(YEAR(AB$4)&gt;YEAR($E66),$I66&gt;0),MIN($I66/$I$50,$I66-SUM($W66:AA66)),0)</f>
        <v>0</v>
      </c>
      <c r="AC66" s="54">
        <f>IF(AND(YEAR(AC$4)&gt;YEAR($E66),$I66&gt;0),MIN($I66/$I$50,$I66-SUM($W66:AB66)),0)</f>
        <v>0</v>
      </c>
      <c r="AD66" s="54">
        <f>IF(AND(YEAR(AD$4)&gt;YEAR($E66),$I66&gt;0),MIN($I66/$I$50,$I66-SUM($W66:AC66)),0)</f>
        <v>0</v>
      </c>
      <c r="AE66" s="54">
        <f>IF(AND(YEAR(AE$4)&gt;YEAR($E66),$I66&gt;0),MIN($I66/$I$50,$I66-SUM($W66:AD66)),0)</f>
        <v>0</v>
      </c>
      <c r="AF66" s="54">
        <f>IF(AND(YEAR(AF$4)&gt;YEAR($E66),$I66&gt;0),MIN($I66/$I$50,$I66-SUM($W66:AE66)),0)</f>
        <v>0</v>
      </c>
      <c r="AG66" s="54">
        <f>IF(AND(YEAR(AG$4)&gt;YEAR($E66),$I66&gt;0),MIN($I66/$I$50,$I66-SUM($W66:AF66)),0)</f>
        <v>0</v>
      </c>
      <c r="AH66" s="54">
        <f>IF(AND(YEAR(AH$4)&gt;YEAR($E66),$I66&gt;0),MIN($I66/$I$50,$I66-SUM($W66:AG66)),0)</f>
        <v>5.6817163842189009</v>
      </c>
      <c r="AI66" s="54">
        <f>IF(AND(YEAR(AI$4)&gt;YEAR($E66),$I66&gt;0),MIN($I66/$I$50,$I66-SUM($W66:AH66)),0)</f>
        <v>5.6817163842189009</v>
      </c>
      <c r="AJ66" s="54">
        <f>IF(AND(YEAR(AJ$4)&gt;YEAR($E66),$I66&gt;0),MIN($I66/$I$50,$I66-SUM($W66:AI66)),0)</f>
        <v>5.6817163842189009</v>
      </c>
      <c r="AK66" s="54">
        <f>IF(AND(YEAR(AK$4)&gt;YEAR($E66),$I66&gt;0),MIN($I66/$I$50,$I66-SUM($W66:AJ66)),0)</f>
        <v>5.6817163842189009</v>
      </c>
      <c r="AL66" s="54">
        <f>IF(AND(YEAR(AL$4)&gt;YEAR($E66),$I66&gt;0),MIN($I66/$I$50,$I66-SUM($W66:AK66)),0)</f>
        <v>5.6817163842189009</v>
      </c>
      <c r="AM66" s="54">
        <f>IF(AND(YEAR(AM$4)&gt;YEAR($E66),$I66&gt;0),MIN($I66/$I$50,$I66-SUM($W66:AL66)),0)</f>
        <v>5.6817163842189009</v>
      </c>
      <c r="AN66" s="54">
        <f>IF(AND(YEAR(AN$4)&gt;YEAR($E66),$I66&gt;0),MIN($I66/$I$50,$I66-SUM($W66:AM66)),0)</f>
        <v>5.6817163842189009</v>
      </c>
      <c r="AO66" s="54">
        <f>IF(AND(YEAR(AO$4)&gt;YEAR($E66),$I66&gt;0),MIN($I66/$I$50,$I66-SUM($W66:AN66)),0)</f>
        <v>0</v>
      </c>
      <c r="AP66" s="54">
        <f>IF(AND(YEAR(AP$4)&gt;YEAR($E66),$I66&gt;0),MIN($I66/$I$50,$I66-SUM($W66:AO66)),0)</f>
        <v>0</v>
      </c>
      <c r="AQ66" s="54">
        <f>IF(AND(YEAR(AQ$4)&gt;YEAR($E66),$I66&gt;0),MIN($I66/$I$50,$I66-SUM($W66:AP66)),0)</f>
        <v>0</v>
      </c>
      <c r="AR66" s="54">
        <f>IF(AND(YEAR(AR$4)&gt;YEAR($E66),$I66&gt;0),MIN($I66/$I$50,$I66-SUM($W66:AQ66)),0)</f>
        <v>0</v>
      </c>
      <c r="AS66" s="54">
        <f>IF(AND(YEAR(AS$4)&gt;YEAR($E66),$I66&gt;0),MIN($I66/$I$50,$I66-SUM($W66:AR66)),0)</f>
        <v>0</v>
      </c>
      <c r="AT66" s="87">
        <f>IF(AND(YEAR(AT$4)&gt;YEAR($E66),$I66&gt;0),MIN($I66/$I$50,$I66-SUM($W66:AS66)),0)</f>
        <v>0</v>
      </c>
      <c r="AU66" s="143">
        <f>IF(AND(YEAR(AU$4)&gt;YEAR($E66),$I66&gt;0),MIN($I66/$I$50,$I66-SUM($W66:AT66)),0)</f>
        <v>0</v>
      </c>
      <c r="AV66" s="54">
        <f>IF(AND(YEAR(AV$4)&gt;YEAR($E66),$I66&gt;0),MIN($I66/$I$50,$I66-SUM($W66:AU66)),0)</f>
        <v>0</v>
      </c>
      <c r="AW66" s="54">
        <f>IF(AND(YEAR(AW$4)&gt;YEAR($E66),$I66&gt;0),MIN($I66/$I$50,$I66-SUM($W66:AV66)),0)</f>
        <v>0</v>
      </c>
      <c r="AX66" s="54">
        <f>IF(AND(YEAR(AX$4)&gt;YEAR($E66),$I66&gt;0),MIN($I66/$I$50,$I66-SUM($W66:AW66)),0)</f>
        <v>0</v>
      </c>
      <c r="AY66" s="54">
        <f>IF(AND(YEAR(AY$4)&gt;YEAR($E66),$I66&gt;0),MIN($I66/$I$50,$I66-SUM($W66:AX66)),0)</f>
        <v>0</v>
      </c>
      <c r="AZ66"/>
      <c r="BA66" s="44" t="str">
        <f t="shared" ca="1" si="5"/>
        <v>Calculations_SO</v>
      </c>
      <c r="BB66" s="1" t="str">
        <f t="shared" si="6"/>
        <v>Depreciation</v>
      </c>
      <c r="BC66" s="116" t="str">
        <f t="shared" si="7"/>
        <v>Straight line depreciation</v>
      </c>
    </row>
    <row r="67" spans="1:55" s="5" customFormat="1" ht="14.5">
      <c r="A67"/>
      <c r="B67" s="6"/>
      <c r="C67" s="6"/>
      <c r="D67" s="43"/>
      <c r="E67" s="109">
        <v>41729</v>
      </c>
      <c r="F67" s="43"/>
      <c r="G67" s="43" t="str">
        <f t="shared" si="4"/>
        <v>£m 23/24 prices</v>
      </c>
      <c r="H67" s="43"/>
      <c r="I67" s="43">
        <v>41.862841559768228</v>
      </c>
      <c r="J67" s="43" t="s">
        <v>10</v>
      </c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54">
        <f>IF(AND(YEAR(X$4)&gt;YEAR($E67),$I67&gt;0),MIN($I67/$I$50,$I67-SUM($W67:W67)),0)</f>
        <v>0</v>
      </c>
      <c r="Y67" s="54">
        <f>IF(AND(YEAR(Y$4)&gt;YEAR($E67),$I67&gt;0),MIN($I67/$I$50,$I67-SUM($W67:X67)),0)</f>
        <v>0</v>
      </c>
      <c r="Z67" s="54">
        <f>IF(AND(YEAR(Z$4)&gt;YEAR($E67),$I67&gt;0),MIN($I67/$I$50,$I67-SUM($W67:Y67)),0)</f>
        <v>0</v>
      </c>
      <c r="AA67" s="54">
        <f>IF(AND(YEAR(AA$4)&gt;YEAR($E67),$I67&gt;0),MIN($I67/$I$50,$I67-SUM($W67:Z67)),0)</f>
        <v>0</v>
      </c>
      <c r="AB67" s="54">
        <f>IF(AND(YEAR(AB$4)&gt;YEAR($E67),$I67&gt;0),MIN($I67/$I$50,$I67-SUM($W67:AA67)),0)</f>
        <v>0</v>
      </c>
      <c r="AC67" s="54">
        <f>IF(AND(YEAR(AC$4)&gt;YEAR($E67),$I67&gt;0),MIN($I67/$I$50,$I67-SUM($W67:AB67)),0)</f>
        <v>0</v>
      </c>
      <c r="AD67" s="54">
        <f>IF(AND(YEAR(AD$4)&gt;YEAR($E67),$I67&gt;0),MIN($I67/$I$50,$I67-SUM($W67:AC67)),0)</f>
        <v>0</v>
      </c>
      <c r="AE67" s="54">
        <f>IF(AND(YEAR(AE$4)&gt;YEAR($E67),$I67&gt;0),MIN($I67/$I$50,$I67-SUM($W67:AD67)),0)</f>
        <v>0</v>
      </c>
      <c r="AF67" s="54">
        <f>IF(AND(YEAR(AF$4)&gt;YEAR($E67),$I67&gt;0),MIN($I67/$I$50,$I67-SUM($W67:AE67)),0)</f>
        <v>0</v>
      </c>
      <c r="AG67" s="54">
        <f>IF(AND(YEAR(AG$4)&gt;YEAR($E67),$I67&gt;0),MIN($I67/$I$50,$I67-SUM($W67:AF67)),0)</f>
        <v>0</v>
      </c>
      <c r="AH67" s="54">
        <f>IF(AND(YEAR(AH$4)&gt;YEAR($E67),$I67&gt;0),MIN($I67/$I$50,$I67-SUM($W67:AG67)),0)</f>
        <v>0</v>
      </c>
      <c r="AI67" s="54">
        <f>IF(AND(YEAR(AI$4)&gt;YEAR($E67),$I67&gt;0),MIN($I67/$I$50,$I67-SUM($W67:AH67)),0)</f>
        <v>5.9804059371097464</v>
      </c>
      <c r="AJ67" s="54">
        <f>IF(AND(YEAR(AJ$4)&gt;YEAR($E67),$I67&gt;0),MIN($I67/$I$50,$I67-SUM($W67:AI67)),0)</f>
        <v>5.9804059371097464</v>
      </c>
      <c r="AK67" s="54">
        <f>IF(AND(YEAR(AK$4)&gt;YEAR($E67),$I67&gt;0),MIN($I67/$I$50,$I67-SUM($W67:AJ67)),0)</f>
        <v>5.9804059371097464</v>
      </c>
      <c r="AL67" s="54">
        <f>IF(AND(YEAR(AL$4)&gt;YEAR($E67),$I67&gt;0),MIN($I67/$I$50,$I67-SUM($W67:AK67)),0)</f>
        <v>5.9804059371097464</v>
      </c>
      <c r="AM67" s="54">
        <f>IF(AND(YEAR(AM$4)&gt;YEAR($E67),$I67&gt;0),MIN($I67/$I$50,$I67-SUM($W67:AL67)),0)</f>
        <v>5.9804059371097464</v>
      </c>
      <c r="AN67" s="54">
        <f>IF(AND(YEAR(AN$4)&gt;YEAR($E67),$I67&gt;0),MIN($I67/$I$50,$I67-SUM($W67:AM67)),0)</f>
        <v>5.9804059371097464</v>
      </c>
      <c r="AO67" s="54">
        <f>IF(AND(YEAR(AO$4)&gt;YEAR($E67),$I67&gt;0),MIN($I67/$I$50,$I67-SUM($W67:AN67)),0)</f>
        <v>5.9804059371097464</v>
      </c>
      <c r="AP67" s="54">
        <f>IF(AND(YEAR(AP$4)&gt;YEAR($E67),$I67&gt;0),MIN($I67/$I$50,$I67-SUM($W67:AO67)),0)</f>
        <v>7.1054273576010019E-15</v>
      </c>
      <c r="AQ67" s="54">
        <f>IF(AND(YEAR(AQ$4)&gt;YEAR($E67),$I67&gt;0),MIN($I67/$I$50,$I67-SUM($W67:AP67)),0)</f>
        <v>0</v>
      </c>
      <c r="AR67" s="54">
        <f>IF(AND(YEAR(AR$4)&gt;YEAR($E67),$I67&gt;0),MIN($I67/$I$50,$I67-SUM($W67:AQ67)),0)</f>
        <v>0</v>
      </c>
      <c r="AS67" s="54">
        <f>IF(AND(YEAR(AS$4)&gt;YEAR($E67),$I67&gt;0),MIN($I67/$I$50,$I67-SUM($W67:AR67)),0)</f>
        <v>0</v>
      </c>
      <c r="AT67" s="87">
        <f>IF(AND(YEAR(AT$4)&gt;YEAR($E67),$I67&gt;0),MIN($I67/$I$50,$I67-SUM($W67:AS67)),0)</f>
        <v>0</v>
      </c>
      <c r="AU67" s="143">
        <f>IF(AND(YEAR(AU$4)&gt;YEAR($E67),$I67&gt;0),MIN($I67/$I$50,$I67-SUM($W67:AT67)),0)</f>
        <v>0</v>
      </c>
      <c r="AV67" s="54">
        <f>IF(AND(YEAR(AV$4)&gt;YEAR($E67),$I67&gt;0),MIN($I67/$I$50,$I67-SUM($W67:AU67)),0)</f>
        <v>0</v>
      </c>
      <c r="AW67" s="54">
        <f>IF(AND(YEAR(AW$4)&gt;YEAR($E67),$I67&gt;0),MIN($I67/$I$50,$I67-SUM($W67:AV67)),0)</f>
        <v>0</v>
      </c>
      <c r="AX67" s="54">
        <f>IF(AND(YEAR(AX$4)&gt;YEAR($E67),$I67&gt;0),MIN($I67/$I$50,$I67-SUM($W67:AW67)),0)</f>
        <v>0</v>
      </c>
      <c r="AY67" s="54">
        <f>IF(AND(YEAR(AY$4)&gt;YEAR($E67),$I67&gt;0),MIN($I67/$I$50,$I67-SUM($W67:AX67)),0)</f>
        <v>0</v>
      </c>
      <c r="AZ67"/>
      <c r="BA67" s="44" t="str">
        <f t="shared" ca="1" si="5"/>
        <v>Calculations_SO</v>
      </c>
      <c r="BB67" s="1" t="str">
        <f t="shared" si="6"/>
        <v>Depreciation</v>
      </c>
      <c r="BC67" s="116" t="str">
        <f t="shared" si="7"/>
        <v>Straight line depreciation</v>
      </c>
    </row>
    <row r="68" spans="1:55" s="5" customFormat="1" ht="14.5">
      <c r="A68"/>
      <c r="B68" s="6"/>
      <c r="C68" s="6"/>
      <c r="D68" s="43"/>
      <c r="E68" s="109">
        <v>42094</v>
      </c>
      <c r="F68" s="43"/>
      <c r="G68" s="43" t="str">
        <f t="shared" si="4"/>
        <v>£m 23/24 prices</v>
      </c>
      <c r="H68" s="43"/>
      <c r="I68" s="43">
        <v>46.451430458247806</v>
      </c>
      <c r="J68" s="43" t="s">
        <v>10</v>
      </c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54">
        <f>IF(AND(YEAR(X$4)&gt;YEAR($E68),$I68&gt;0),MIN($I68/$I$50,$I68-SUM($W68:W68)),0)</f>
        <v>0</v>
      </c>
      <c r="Y68" s="54">
        <f>IF(AND(YEAR(Y$4)&gt;YEAR($E68),$I68&gt;0),MIN($I68/$I$50,$I68-SUM($W68:X68)),0)</f>
        <v>0</v>
      </c>
      <c r="Z68" s="54">
        <f>IF(AND(YEAR(Z$4)&gt;YEAR($E68),$I68&gt;0),MIN($I68/$I$50,$I68-SUM($W68:Y68)),0)</f>
        <v>0</v>
      </c>
      <c r="AA68" s="54">
        <f>IF(AND(YEAR(AA$4)&gt;YEAR($E68),$I68&gt;0),MIN($I68/$I$50,$I68-SUM($W68:Z68)),0)</f>
        <v>0</v>
      </c>
      <c r="AB68" s="54">
        <f>IF(AND(YEAR(AB$4)&gt;YEAR($E68),$I68&gt;0),MIN($I68/$I$50,$I68-SUM($W68:AA68)),0)</f>
        <v>0</v>
      </c>
      <c r="AC68" s="54">
        <f>IF(AND(YEAR(AC$4)&gt;YEAR($E68),$I68&gt;0),MIN($I68/$I$50,$I68-SUM($W68:AB68)),0)</f>
        <v>0</v>
      </c>
      <c r="AD68" s="54">
        <f>IF(AND(YEAR(AD$4)&gt;YEAR($E68),$I68&gt;0),MIN($I68/$I$50,$I68-SUM($W68:AC68)),0)</f>
        <v>0</v>
      </c>
      <c r="AE68" s="54">
        <f>IF(AND(YEAR(AE$4)&gt;YEAR($E68),$I68&gt;0),MIN($I68/$I$50,$I68-SUM($W68:AD68)),0)</f>
        <v>0</v>
      </c>
      <c r="AF68" s="54">
        <f>IF(AND(YEAR(AF$4)&gt;YEAR($E68),$I68&gt;0),MIN($I68/$I$50,$I68-SUM($W68:AE68)),0)</f>
        <v>0</v>
      </c>
      <c r="AG68" s="54">
        <f>IF(AND(YEAR(AG$4)&gt;YEAR($E68),$I68&gt;0),MIN($I68/$I$50,$I68-SUM($W68:AF68)),0)</f>
        <v>0</v>
      </c>
      <c r="AH68" s="54">
        <f>IF(AND(YEAR(AH$4)&gt;YEAR($E68),$I68&gt;0),MIN($I68/$I$50,$I68-SUM($W68:AG68)),0)</f>
        <v>0</v>
      </c>
      <c r="AI68" s="54">
        <f>IF(AND(YEAR(AI$4)&gt;YEAR($E68),$I68&gt;0),MIN($I68/$I$50,$I68-SUM($W68:AH68)),0)</f>
        <v>0</v>
      </c>
      <c r="AJ68" s="54">
        <f>IF(AND(YEAR(AJ$4)&gt;YEAR($E68),$I68&gt;0),MIN($I68/$I$50,$I68-SUM($W68:AI68)),0)</f>
        <v>6.6359186368925434</v>
      </c>
      <c r="AK68" s="54">
        <f>IF(AND(YEAR(AK$4)&gt;YEAR($E68),$I68&gt;0),MIN($I68/$I$50,$I68-SUM($W68:AJ68)),0)</f>
        <v>6.6359186368925434</v>
      </c>
      <c r="AL68" s="54">
        <f>IF(AND(YEAR(AL$4)&gt;YEAR($E68),$I68&gt;0),MIN($I68/$I$50,$I68-SUM($W68:AK68)),0)</f>
        <v>6.6359186368925434</v>
      </c>
      <c r="AM68" s="54">
        <f>IF(AND(YEAR(AM$4)&gt;YEAR($E68),$I68&gt;0),MIN($I68/$I$50,$I68-SUM($W68:AL68)),0)</f>
        <v>6.6359186368925434</v>
      </c>
      <c r="AN68" s="54">
        <f>IF(AND(YEAR(AN$4)&gt;YEAR($E68),$I68&gt;0),MIN($I68/$I$50,$I68-SUM($W68:AM68)),0)</f>
        <v>6.6359186368925434</v>
      </c>
      <c r="AO68" s="54">
        <f>IF(AND(YEAR(AO$4)&gt;YEAR($E68),$I68&gt;0),MIN($I68/$I$50,$I68-SUM($W68:AN68)),0)</f>
        <v>6.6359186368925434</v>
      </c>
      <c r="AP68" s="54">
        <f>IF(AND(YEAR(AP$4)&gt;YEAR($E68),$I68&gt;0),MIN($I68/$I$50,$I68-SUM($W68:AO68)),0)</f>
        <v>6.6359186368925434</v>
      </c>
      <c r="AQ68" s="54">
        <f>IF(AND(YEAR(AQ$4)&gt;YEAR($E68),$I68&gt;0),MIN($I68/$I$50,$I68-SUM($W68:AP68)),0)</f>
        <v>7.1054273576010019E-15</v>
      </c>
      <c r="AR68" s="54">
        <f>IF(AND(YEAR(AR$4)&gt;YEAR($E68),$I68&gt;0),MIN($I68/$I$50,$I68-SUM($W68:AQ68)),0)</f>
        <v>0</v>
      </c>
      <c r="AS68" s="54">
        <f>IF(AND(YEAR(AS$4)&gt;YEAR($E68),$I68&gt;0),MIN($I68/$I$50,$I68-SUM($W68:AR68)),0)</f>
        <v>0</v>
      </c>
      <c r="AT68" s="87">
        <f>IF(AND(YEAR(AT$4)&gt;YEAR($E68),$I68&gt;0),MIN($I68/$I$50,$I68-SUM($W68:AS68)),0)</f>
        <v>0</v>
      </c>
      <c r="AU68" s="143">
        <f>IF(AND(YEAR(AU$4)&gt;YEAR($E68),$I68&gt;0),MIN($I68/$I$50,$I68-SUM($W68:AT68)),0)</f>
        <v>0</v>
      </c>
      <c r="AV68" s="54">
        <f>IF(AND(YEAR(AV$4)&gt;YEAR($E68),$I68&gt;0),MIN($I68/$I$50,$I68-SUM($W68:AU68)),0)</f>
        <v>0</v>
      </c>
      <c r="AW68" s="54">
        <f>IF(AND(YEAR(AW$4)&gt;YEAR($E68),$I68&gt;0),MIN($I68/$I$50,$I68-SUM($W68:AV68)),0)</f>
        <v>0</v>
      </c>
      <c r="AX68" s="54">
        <f>IF(AND(YEAR(AX$4)&gt;YEAR($E68),$I68&gt;0),MIN($I68/$I$50,$I68-SUM($W68:AW68)),0)</f>
        <v>0</v>
      </c>
      <c r="AY68" s="54">
        <f>IF(AND(YEAR(AY$4)&gt;YEAR($E68),$I68&gt;0),MIN($I68/$I$50,$I68-SUM($W68:AX68)),0)</f>
        <v>0</v>
      </c>
      <c r="AZ68"/>
      <c r="BA68" s="44" t="str">
        <f t="shared" ca="1" si="5"/>
        <v>Calculations_SO</v>
      </c>
      <c r="BB68" s="1" t="str">
        <f t="shared" si="6"/>
        <v>Depreciation</v>
      </c>
      <c r="BC68" s="116" t="str">
        <f t="shared" si="7"/>
        <v>Straight line depreciation</v>
      </c>
    </row>
    <row r="69" spans="1:55" s="5" customFormat="1" ht="14.5">
      <c r="A69"/>
      <c r="B69" s="6"/>
      <c r="C69" s="6"/>
      <c r="D69" s="43"/>
      <c r="E69" s="109">
        <v>42460</v>
      </c>
      <c r="F69" s="43"/>
      <c r="G69" s="43" t="str">
        <f t="shared" si="4"/>
        <v>£m 23/24 prices</v>
      </c>
      <c r="H69" s="43"/>
      <c r="I69" s="43">
        <v>49.593851658994922</v>
      </c>
      <c r="J69" s="43" t="s">
        <v>10</v>
      </c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54">
        <f>IF(AND(YEAR(X$4)&gt;YEAR($E69),$I69&gt;0),MIN($I69/$I$50,$I69-SUM($W69:W69)),0)</f>
        <v>0</v>
      </c>
      <c r="Y69" s="54">
        <f>IF(AND(YEAR(Y$4)&gt;YEAR($E69),$I69&gt;0),MIN($I69/$I$50,$I69-SUM($W69:X69)),0)</f>
        <v>0</v>
      </c>
      <c r="Z69" s="54">
        <f>IF(AND(YEAR(Z$4)&gt;YEAR($E69),$I69&gt;0),MIN($I69/$I$50,$I69-SUM($W69:Y69)),0)</f>
        <v>0</v>
      </c>
      <c r="AA69" s="54">
        <f>IF(AND(YEAR(AA$4)&gt;YEAR($E69),$I69&gt;0),MIN($I69/$I$50,$I69-SUM($W69:Z69)),0)</f>
        <v>0</v>
      </c>
      <c r="AB69" s="54">
        <f>IF(AND(YEAR(AB$4)&gt;YEAR($E69),$I69&gt;0),MIN($I69/$I$50,$I69-SUM($W69:AA69)),0)</f>
        <v>0</v>
      </c>
      <c r="AC69" s="54">
        <f>IF(AND(YEAR(AC$4)&gt;YEAR($E69),$I69&gt;0),MIN($I69/$I$50,$I69-SUM($W69:AB69)),0)</f>
        <v>0</v>
      </c>
      <c r="AD69" s="54">
        <f>IF(AND(YEAR(AD$4)&gt;YEAR($E69),$I69&gt;0),MIN($I69/$I$50,$I69-SUM($W69:AC69)),0)</f>
        <v>0</v>
      </c>
      <c r="AE69" s="54">
        <f>IF(AND(YEAR(AE$4)&gt;YEAR($E69),$I69&gt;0),MIN($I69/$I$50,$I69-SUM($W69:AD69)),0)</f>
        <v>0</v>
      </c>
      <c r="AF69" s="54">
        <f>IF(AND(YEAR(AF$4)&gt;YEAR($E69),$I69&gt;0),MIN($I69/$I$50,$I69-SUM($W69:AE69)),0)</f>
        <v>0</v>
      </c>
      <c r="AG69" s="54">
        <f>IF(AND(YEAR(AG$4)&gt;YEAR($E69),$I69&gt;0),MIN($I69/$I$50,$I69-SUM($W69:AF69)),0)</f>
        <v>0</v>
      </c>
      <c r="AH69" s="54">
        <f>IF(AND(YEAR(AH$4)&gt;YEAR($E69),$I69&gt;0),MIN($I69/$I$50,$I69-SUM($W69:AG69)),0)</f>
        <v>0</v>
      </c>
      <c r="AI69" s="54">
        <f>IF(AND(YEAR(AI$4)&gt;YEAR($E69),$I69&gt;0),MIN($I69/$I$50,$I69-SUM($W69:AH69)),0)</f>
        <v>0</v>
      </c>
      <c r="AJ69" s="54">
        <f>IF(AND(YEAR(AJ$4)&gt;YEAR($E69),$I69&gt;0),MIN($I69/$I$50,$I69-SUM($W69:AI69)),0)</f>
        <v>0</v>
      </c>
      <c r="AK69" s="54">
        <f>IF(AND(YEAR(AK$4)&gt;YEAR($E69),$I69&gt;0),MIN($I69/$I$50,$I69-SUM($W69:AJ69)),0)</f>
        <v>7.0848359512849886</v>
      </c>
      <c r="AL69" s="54">
        <f>IF(AND(YEAR(AL$4)&gt;YEAR($E69),$I69&gt;0),MIN($I69/$I$50,$I69-SUM($W69:AK69)),0)</f>
        <v>7.0848359512849886</v>
      </c>
      <c r="AM69" s="54">
        <f>IF(AND(YEAR(AM$4)&gt;YEAR($E69),$I69&gt;0),MIN($I69/$I$50,$I69-SUM($W69:AL69)),0)</f>
        <v>7.0848359512849886</v>
      </c>
      <c r="AN69" s="54">
        <f>IF(AND(YEAR(AN$4)&gt;YEAR($E69),$I69&gt;0),MIN($I69/$I$50,$I69-SUM($W69:AM69)),0)</f>
        <v>7.0848359512849886</v>
      </c>
      <c r="AO69" s="54">
        <f>IF(AND(YEAR(AO$4)&gt;YEAR($E69),$I69&gt;0),MIN($I69/$I$50,$I69-SUM($W69:AN69)),0)</f>
        <v>7.0848359512849886</v>
      </c>
      <c r="AP69" s="54">
        <f>IF(AND(YEAR(AP$4)&gt;YEAR($E69),$I69&gt;0),MIN($I69/$I$50,$I69-SUM($W69:AO69)),0)</f>
        <v>7.0848359512849886</v>
      </c>
      <c r="AQ69" s="54">
        <f>IF(AND(YEAR(AQ$4)&gt;YEAR($E69),$I69&gt;0),MIN($I69/$I$50,$I69-SUM($W69:AP69)),0)</f>
        <v>7.0848359512849886</v>
      </c>
      <c r="AR69" s="54">
        <f>IF(AND(YEAR(AR$4)&gt;YEAR($E69),$I69&gt;0),MIN($I69/$I$50,$I69-SUM($W69:AQ69)),0)</f>
        <v>7.1054273576010019E-15</v>
      </c>
      <c r="AS69" s="54">
        <f>IF(AND(YEAR(AS$4)&gt;YEAR($E69),$I69&gt;0),MIN($I69/$I$50,$I69-SUM($W69:AR69)),0)</f>
        <v>0</v>
      </c>
      <c r="AT69" s="87">
        <f>IF(AND(YEAR(AT$4)&gt;YEAR($E69),$I69&gt;0),MIN($I69/$I$50,$I69-SUM($W69:AS69)),0)</f>
        <v>0</v>
      </c>
      <c r="AU69" s="143">
        <f>IF(AND(YEAR(AU$4)&gt;YEAR($E69),$I69&gt;0),MIN($I69/$I$50,$I69-SUM($W69:AT69)),0)</f>
        <v>0</v>
      </c>
      <c r="AV69" s="54">
        <f>IF(AND(YEAR(AV$4)&gt;YEAR($E69),$I69&gt;0),MIN($I69/$I$50,$I69-SUM($W69:AU69)),0)</f>
        <v>0</v>
      </c>
      <c r="AW69" s="54">
        <f>IF(AND(YEAR(AW$4)&gt;YEAR($E69),$I69&gt;0),MIN($I69/$I$50,$I69-SUM($W69:AV69)),0)</f>
        <v>0</v>
      </c>
      <c r="AX69" s="54">
        <f>IF(AND(YEAR(AX$4)&gt;YEAR($E69),$I69&gt;0),MIN($I69/$I$50,$I69-SUM($W69:AW69)),0)</f>
        <v>0</v>
      </c>
      <c r="AY69" s="54">
        <f>IF(AND(YEAR(AY$4)&gt;YEAR($E69),$I69&gt;0),MIN($I69/$I$50,$I69-SUM($W69:AX69)),0)</f>
        <v>0</v>
      </c>
      <c r="AZ69"/>
      <c r="BA69" s="44" t="str">
        <f t="shared" ca="1" si="5"/>
        <v>Calculations_SO</v>
      </c>
      <c r="BB69" s="1" t="str">
        <f t="shared" si="6"/>
        <v>Depreciation</v>
      </c>
      <c r="BC69" s="116" t="str">
        <f t="shared" si="7"/>
        <v>Straight line depreciation</v>
      </c>
    </row>
    <row r="70" spans="1:55" s="5" customFormat="1" ht="14.5">
      <c r="A70"/>
      <c r="B70" s="6"/>
      <c r="C70" s="6"/>
      <c r="D70" s="43"/>
      <c r="E70" s="109">
        <v>42825</v>
      </c>
      <c r="F70" s="43"/>
      <c r="G70" s="43" t="str">
        <f t="shared" si="4"/>
        <v>£m 23/24 prices</v>
      </c>
      <c r="H70" s="43"/>
      <c r="I70" s="43">
        <v>47.150605524085442</v>
      </c>
      <c r="J70" s="43" t="s">
        <v>10</v>
      </c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54">
        <f>IF(AND(YEAR(X$4)&gt;YEAR($E70),$I70&gt;0),MIN($I70/$I$50,$I70-SUM($W70:W70)),0)</f>
        <v>0</v>
      </c>
      <c r="Y70" s="54">
        <f>IF(AND(YEAR(Y$4)&gt;YEAR($E70),$I70&gt;0),MIN($I70/$I$50,$I70-SUM($W70:X70)),0)</f>
        <v>0</v>
      </c>
      <c r="Z70" s="54">
        <f>IF(AND(YEAR(Z$4)&gt;YEAR($E70),$I70&gt;0),MIN($I70/$I$50,$I70-SUM($W70:Y70)),0)</f>
        <v>0</v>
      </c>
      <c r="AA70" s="54">
        <f>IF(AND(YEAR(AA$4)&gt;YEAR($E70),$I70&gt;0),MIN($I70/$I$50,$I70-SUM($W70:Z70)),0)</f>
        <v>0</v>
      </c>
      <c r="AB70" s="54">
        <f>IF(AND(YEAR(AB$4)&gt;YEAR($E70),$I70&gt;0),MIN($I70/$I$50,$I70-SUM($W70:AA70)),0)</f>
        <v>0</v>
      </c>
      <c r="AC70" s="54">
        <f>IF(AND(YEAR(AC$4)&gt;YEAR($E70),$I70&gt;0),MIN($I70/$I$50,$I70-SUM($W70:AB70)),0)</f>
        <v>0</v>
      </c>
      <c r="AD70" s="54">
        <f>IF(AND(YEAR(AD$4)&gt;YEAR($E70),$I70&gt;0),MIN($I70/$I$50,$I70-SUM($W70:AC70)),0)</f>
        <v>0</v>
      </c>
      <c r="AE70" s="54">
        <f>IF(AND(YEAR(AE$4)&gt;YEAR($E70),$I70&gt;0),MIN($I70/$I$50,$I70-SUM($W70:AD70)),0)</f>
        <v>0</v>
      </c>
      <c r="AF70" s="54">
        <f>IF(AND(YEAR(AF$4)&gt;YEAR($E70),$I70&gt;0),MIN($I70/$I$50,$I70-SUM($W70:AE70)),0)</f>
        <v>0</v>
      </c>
      <c r="AG70" s="54">
        <f>IF(AND(YEAR(AG$4)&gt;YEAR($E70),$I70&gt;0),MIN($I70/$I$50,$I70-SUM($W70:AF70)),0)</f>
        <v>0</v>
      </c>
      <c r="AH70" s="54">
        <f>IF(AND(YEAR(AH$4)&gt;YEAR($E70),$I70&gt;0),MIN($I70/$I$50,$I70-SUM($W70:AG70)),0)</f>
        <v>0</v>
      </c>
      <c r="AI70" s="54">
        <f>IF(AND(YEAR(AI$4)&gt;YEAR($E70),$I70&gt;0),MIN($I70/$I$50,$I70-SUM($W70:AH70)),0)</f>
        <v>0</v>
      </c>
      <c r="AJ70" s="54">
        <f>IF(AND(YEAR(AJ$4)&gt;YEAR($E70),$I70&gt;0),MIN($I70/$I$50,$I70-SUM($W70:AI70)),0)</f>
        <v>0</v>
      </c>
      <c r="AK70" s="54">
        <f>IF(AND(YEAR(AK$4)&gt;YEAR($E70),$I70&gt;0),MIN($I70/$I$50,$I70-SUM($W70:AJ70)),0)</f>
        <v>0</v>
      </c>
      <c r="AL70" s="54">
        <f>IF(AND(YEAR(AL$4)&gt;YEAR($E70),$I70&gt;0),MIN($I70/$I$50,$I70-SUM($W70:AK70)),0)</f>
        <v>6.7358007891550633</v>
      </c>
      <c r="AM70" s="54">
        <f>IF(AND(YEAR(AM$4)&gt;YEAR($E70),$I70&gt;0),MIN($I70/$I$50,$I70-SUM($W70:AL70)),0)</f>
        <v>6.7358007891550633</v>
      </c>
      <c r="AN70" s="54">
        <f>IF(AND(YEAR(AN$4)&gt;YEAR($E70),$I70&gt;0),MIN($I70/$I$50,$I70-SUM($W70:AM70)),0)</f>
        <v>6.7358007891550633</v>
      </c>
      <c r="AO70" s="54">
        <f>IF(AND(YEAR(AO$4)&gt;YEAR($E70),$I70&gt;0),MIN($I70/$I$50,$I70-SUM($W70:AN70)),0)</f>
        <v>6.7358007891550633</v>
      </c>
      <c r="AP70" s="54">
        <f>IF(AND(YEAR(AP$4)&gt;YEAR($E70),$I70&gt;0),MIN($I70/$I$50,$I70-SUM($W70:AO70)),0)</f>
        <v>6.7358007891550633</v>
      </c>
      <c r="AQ70" s="54">
        <f>IF(AND(YEAR(AQ$4)&gt;YEAR($E70),$I70&gt;0),MIN($I70/$I$50,$I70-SUM($W70:AP70)),0)</f>
        <v>6.7358007891550633</v>
      </c>
      <c r="AR70" s="54">
        <f>IF(AND(YEAR(AR$4)&gt;YEAR($E70),$I70&gt;0),MIN($I70/$I$50,$I70-SUM($W70:AQ70)),0)</f>
        <v>6.7358007891550633</v>
      </c>
      <c r="AS70" s="54">
        <f>IF(AND(YEAR(AS$4)&gt;YEAR($E70),$I70&gt;0),MIN($I70/$I$50,$I70-SUM($W70:AR70)),0)</f>
        <v>0</v>
      </c>
      <c r="AT70" s="87">
        <f>IF(AND(YEAR(AT$4)&gt;YEAR($E70),$I70&gt;0),MIN($I70/$I$50,$I70-SUM($W70:AS70)),0)</f>
        <v>0</v>
      </c>
      <c r="AU70" s="143">
        <f>IF(AND(YEAR(AU$4)&gt;YEAR($E70),$I70&gt;0),MIN($I70/$I$50,$I70-SUM($W70:AT70)),0)</f>
        <v>0</v>
      </c>
      <c r="AV70" s="54">
        <f>IF(AND(YEAR(AV$4)&gt;YEAR($E70),$I70&gt;0),MIN($I70/$I$50,$I70-SUM($W70:AU70)),0)</f>
        <v>0</v>
      </c>
      <c r="AW70" s="54">
        <f>IF(AND(YEAR(AW$4)&gt;YEAR($E70),$I70&gt;0),MIN($I70/$I$50,$I70-SUM($W70:AV70)),0)</f>
        <v>0</v>
      </c>
      <c r="AX70" s="54">
        <f>IF(AND(YEAR(AX$4)&gt;YEAR($E70),$I70&gt;0),MIN($I70/$I$50,$I70-SUM($W70:AW70)),0)</f>
        <v>0</v>
      </c>
      <c r="AY70" s="54">
        <f>IF(AND(YEAR(AY$4)&gt;YEAR($E70),$I70&gt;0),MIN($I70/$I$50,$I70-SUM($W70:AX70)),0)</f>
        <v>0</v>
      </c>
      <c r="AZ70"/>
      <c r="BA70" s="44" t="str">
        <f t="shared" ca="1" si="5"/>
        <v>Calculations_SO</v>
      </c>
      <c r="BB70" s="1" t="str">
        <f t="shared" si="6"/>
        <v>Depreciation</v>
      </c>
      <c r="BC70" s="116" t="str">
        <f t="shared" si="7"/>
        <v>Straight line depreciation</v>
      </c>
    </row>
    <row r="71" spans="1:55" s="5" customFormat="1" ht="14.5">
      <c r="A71"/>
      <c r="B71" s="6"/>
      <c r="C71" s="6"/>
      <c r="D71" s="43"/>
      <c r="E71" s="109">
        <v>43190</v>
      </c>
      <c r="F71" s="43"/>
      <c r="G71" s="43" t="str">
        <f t="shared" si="4"/>
        <v>£m 23/24 prices</v>
      </c>
      <c r="H71" s="43"/>
      <c r="I71" s="43">
        <v>43.503914548072935</v>
      </c>
      <c r="J71" s="43" t="s">
        <v>10</v>
      </c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54">
        <f>IF(AND(YEAR(X$4)&gt;YEAR($E71),$I71&gt;0),MIN($I71/$I$50,$I71-SUM($W71:W71)),0)</f>
        <v>0</v>
      </c>
      <c r="Y71" s="54">
        <f>IF(AND(YEAR(Y$4)&gt;YEAR($E71),$I71&gt;0),MIN($I71/$I$50,$I71-SUM($W71:X71)),0)</f>
        <v>0</v>
      </c>
      <c r="Z71" s="54">
        <f>IF(AND(YEAR(Z$4)&gt;YEAR($E71),$I71&gt;0),MIN($I71/$I$50,$I71-SUM($W71:Y71)),0)</f>
        <v>0</v>
      </c>
      <c r="AA71" s="54">
        <f>IF(AND(YEAR(AA$4)&gt;YEAR($E71),$I71&gt;0),MIN($I71/$I$50,$I71-SUM($W71:Z71)),0)</f>
        <v>0</v>
      </c>
      <c r="AB71" s="54">
        <f>IF(AND(YEAR(AB$4)&gt;YEAR($E71),$I71&gt;0),MIN($I71/$I$50,$I71-SUM($W71:AA71)),0)</f>
        <v>0</v>
      </c>
      <c r="AC71" s="54">
        <f>IF(AND(YEAR(AC$4)&gt;YEAR($E71),$I71&gt;0),MIN($I71/$I$50,$I71-SUM($W71:AB71)),0)</f>
        <v>0</v>
      </c>
      <c r="AD71" s="54">
        <f>IF(AND(YEAR(AD$4)&gt;YEAR($E71),$I71&gt;0),MIN($I71/$I$50,$I71-SUM($W71:AC71)),0)</f>
        <v>0</v>
      </c>
      <c r="AE71" s="54">
        <f>IF(AND(YEAR(AE$4)&gt;YEAR($E71),$I71&gt;0),MIN($I71/$I$50,$I71-SUM($W71:AD71)),0)</f>
        <v>0</v>
      </c>
      <c r="AF71" s="54">
        <f>IF(AND(YEAR(AF$4)&gt;YEAR($E71),$I71&gt;0),MIN($I71/$I$50,$I71-SUM($W71:AE71)),0)</f>
        <v>0</v>
      </c>
      <c r="AG71" s="54">
        <f>IF(AND(YEAR(AG$4)&gt;YEAR($E71),$I71&gt;0),MIN($I71/$I$50,$I71-SUM($W71:AF71)),0)</f>
        <v>0</v>
      </c>
      <c r="AH71" s="54">
        <f>IF(AND(YEAR(AH$4)&gt;YEAR($E71),$I71&gt;0),MIN($I71/$I$50,$I71-SUM($W71:AG71)),0)</f>
        <v>0</v>
      </c>
      <c r="AI71" s="54">
        <f>IF(AND(YEAR(AI$4)&gt;YEAR($E71),$I71&gt;0),MIN($I71/$I$50,$I71-SUM($W71:AH71)),0)</f>
        <v>0</v>
      </c>
      <c r="AJ71" s="54">
        <f>IF(AND(YEAR(AJ$4)&gt;YEAR($E71),$I71&gt;0),MIN($I71/$I$50,$I71-SUM($W71:AI71)),0)</f>
        <v>0</v>
      </c>
      <c r="AK71" s="54">
        <f>IF(AND(YEAR(AK$4)&gt;YEAR($E71),$I71&gt;0),MIN($I71/$I$50,$I71-SUM($W71:AJ71)),0)</f>
        <v>0</v>
      </c>
      <c r="AL71" s="54">
        <f>IF(AND(YEAR(AL$4)&gt;YEAR($E71),$I71&gt;0),MIN($I71/$I$50,$I71-SUM($W71:AK71)),0)</f>
        <v>0</v>
      </c>
      <c r="AM71" s="54">
        <f>IF(AND(YEAR(AM$4)&gt;YEAR($E71),$I71&gt;0),MIN($I71/$I$50,$I71-SUM($W71:AL71)),0)</f>
        <v>6.2148449354389905</v>
      </c>
      <c r="AN71" s="54">
        <f>IF(AND(YEAR(AN$4)&gt;YEAR($E71),$I71&gt;0),MIN($I71/$I$50,$I71-SUM($W71:AM71)),0)</f>
        <v>6.2148449354389905</v>
      </c>
      <c r="AO71" s="54">
        <f>IF(AND(YEAR(AO$4)&gt;YEAR($E71),$I71&gt;0),MIN($I71/$I$50,$I71-SUM($W71:AN71)),0)</f>
        <v>6.2148449354389905</v>
      </c>
      <c r="AP71" s="54">
        <f>IF(AND(YEAR(AP$4)&gt;YEAR($E71),$I71&gt;0),MIN($I71/$I$50,$I71-SUM($W71:AO71)),0)</f>
        <v>6.2148449354389905</v>
      </c>
      <c r="AQ71" s="54">
        <f>IF(AND(YEAR(AQ$4)&gt;YEAR($E71),$I71&gt;0),MIN($I71/$I$50,$I71-SUM($W71:AP71)),0)</f>
        <v>6.2148449354389905</v>
      </c>
      <c r="AR71" s="54">
        <f>IF(AND(YEAR(AR$4)&gt;YEAR($E71),$I71&gt;0),MIN($I71/$I$50,$I71-SUM($W71:AQ71)),0)</f>
        <v>6.2148449354389905</v>
      </c>
      <c r="AS71" s="54">
        <f>IF(AND(YEAR(AS$4)&gt;YEAR($E71),$I71&gt;0),MIN($I71/$I$50,$I71-SUM($W71:AR71)),0)</f>
        <v>6.2148449354389896</v>
      </c>
      <c r="AT71" s="87">
        <f>IF(AND(YEAR(AT$4)&gt;YEAR($E71),$I71&gt;0),MIN($I71/$I$50,$I71-SUM($W71:AS71)),0)</f>
        <v>0</v>
      </c>
      <c r="AU71" s="143">
        <f>IF(AND(YEAR(AU$4)&gt;YEAR($E71),$I71&gt;0),MIN($I71/$I$50,$I71-SUM($W71:AT71)),0)</f>
        <v>0</v>
      </c>
      <c r="AV71" s="54">
        <f>IF(AND(YEAR(AV$4)&gt;YEAR($E71),$I71&gt;0),MIN($I71/$I$50,$I71-SUM($W71:AU71)),0)</f>
        <v>0</v>
      </c>
      <c r="AW71" s="54">
        <f>IF(AND(YEAR(AW$4)&gt;YEAR($E71),$I71&gt;0),MIN($I71/$I$50,$I71-SUM($W71:AV71)),0)</f>
        <v>0</v>
      </c>
      <c r="AX71" s="54">
        <f>IF(AND(YEAR(AX$4)&gt;YEAR($E71),$I71&gt;0),MIN($I71/$I$50,$I71-SUM($W71:AW71)),0)</f>
        <v>0</v>
      </c>
      <c r="AY71" s="54">
        <f>IF(AND(YEAR(AY$4)&gt;YEAR($E71),$I71&gt;0),MIN($I71/$I$50,$I71-SUM($W71:AX71)),0)</f>
        <v>0</v>
      </c>
      <c r="AZ71"/>
      <c r="BA71" s="44" t="str">
        <f t="shared" ca="1" si="5"/>
        <v>Calculations_SO</v>
      </c>
      <c r="BB71" s="1" t="str">
        <f t="shared" si="6"/>
        <v>Depreciation</v>
      </c>
      <c r="BC71" s="116" t="str">
        <f t="shared" si="7"/>
        <v>Straight line depreciation</v>
      </c>
    </row>
    <row r="72" spans="1:55" s="5" customFormat="1" ht="14.5">
      <c r="A72"/>
      <c r="B72" s="6"/>
      <c r="C72" s="6"/>
      <c r="D72" s="43"/>
      <c r="E72" s="109">
        <v>43555</v>
      </c>
      <c r="F72" s="43"/>
      <c r="G72" s="43" t="str">
        <f t="shared" si="4"/>
        <v>£m 23/24 prices</v>
      </c>
      <c r="H72" s="43"/>
      <c r="I72" s="43">
        <v>46.791922766939734</v>
      </c>
      <c r="J72" s="43" t="s">
        <v>10</v>
      </c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54">
        <f>IF(AND(YEAR(X$4)&gt;YEAR($E72),$I72&gt;0),MIN($I72/$I$50,$I72-SUM($W72:W72)),0)</f>
        <v>0</v>
      </c>
      <c r="Y72" s="54">
        <f>IF(AND(YEAR(Y$4)&gt;YEAR($E72),$I72&gt;0),MIN($I72/$I$50,$I72-SUM($W72:X72)),0)</f>
        <v>0</v>
      </c>
      <c r="Z72" s="54">
        <f>IF(AND(YEAR(Z$4)&gt;YEAR($E72),$I72&gt;0),MIN($I72/$I$50,$I72-SUM($W72:Y72)),0)</f>
        <v>0</v>
      </c>
      <c r="AA72" s="54">
        <f>IF(AND(YEAR(AA$4)&gt;YEAR($E72),$I72&gt;0),MIN($I72/$I$50,$I72-SUM($W72:Z72)),0)</f>
        <v>0</v>
      </c>
      <c r="AB72" s="54">
        <f>IF(AND(YEAR(AB$4)&gt;YEAR($E72),$I72&gt;0),MIN($I72/$I$50,$I72-SUM($W72:AA72)),0)</f>
        <v>0</v>
      </c>
      <c r="AC72" s="54">
        <f>IF(AND(YEAR(AC$4)&gt;YEAR($E72),$I72&gt;0),MIN($I72/$I$50,$I72-SUM($W72:AB72)),0)</f>
        <v>0</v>
      </c>
      <c r="AD72" s="54">
        <f>IF(AND(YEAR(AD$4)&gt;YEAR($E72),$I72&gt;0),MIN($I72/$I$50,$I72-SUM($W72:AC72)),0)</f>
        <v>0</v>
      </c>
      <c r="AE72" s="54">
        <f>IF(AND(YEAR(AE$4)&gt;YEAR($E72),$I72&gt;0),MIN($I72/$I$50,$I72-SUM($W72:AD72)),0)</f>
        <v>0</v>
      </c>
      <c r="AF72" s="54">
        <f>IF(AND(YEAR(AF$4)&gt;YEAR($E72),$I72&gt;0),MIN($I72/$I$50,$I72-SUM($W72:AE72)),0)</f>
        <v>0</v>
      </c>
      <c r="AG72" s="54">
        <f>IF(AND(YEAR(AG$4)&gt;YEAR($E72),$I72&gt;0),MIN($I72/$I$50,$I72-SUM($W72:AF72)),0)</f>
        <v>0</v>
      </c>
      <c r="AH72" s="54">
        <f>IF(AND(YEAR(AH$4)&gt;YEAR($E72),$I72&gt;0),MIN($I72/$I$50,$I72-SUM($W72:AG72)),0)</f>
        <v>0</v>
      </c>
      <c r="AI72" s="54">
        <f>IF(AND(YEAR(AI$4)&gt;YEAR($E72),$I72&gt;0),MIN($I72/$I$50,$I72-SUM($W72:AH72)),0)</f>
        <v>0</v>
      </c>
      <c r="AJ72" s="54">
        <f>IF(AND(YEAR(AJ$4)&gt;YEAR($E72),$I72&gt;0),MIN($I72/$I$50,$I72-SUM($W72:AI72)),0)</f>
        <v>0</v>
      </c>
      <c r="AK72" s="54">
        <f>IF(AND(YEAR(AK$4)&gt;YEAR($E72),$I72&gt;0),MIN($I72/$I$50,$I72-SUM($W72:AJ72)),0)</f>
        <v>0</v>
      </c>
      <c r="AL72" s="54">
        <f>IF(AND(YEAR(AL$4)&gt;YEAR($E72),$I72&gt;0),MIN($I72/$I$50,$I72-SUM($W72:AK72)),0)</f>
        <v>0</v>
      </c>
      <c r="AM72" s="54">
        <f>IF(AND(YEAR(AM$4)&gt;YEAR($E72),$I72&gt;0),MIN($I72/$I$50,$I72-SUM($W72:AL72)),0)</f>
        <v>0</v>
      </c>
      <c r="AN72" s="54">
        <f>IF(AND(YEAR(AN$4)&gt;YEAR($E72),$I72&gt;0),MIN($I72/$I$50,$I72-SUM($W72:AM72)),0)</f>
        <v>6.6845603952771047</v>
      </c>
      <c r="AO72" s="54">
        <f>IF(AND(YEAR(AO$4)&gt;YEAR($E72),$I72&gt;0),MIN($I72/$I$50,$I72-SUM($W72:AN72)),0)</f>
        <v>6.6845603952771047</v>
      </c>
      <c r="AP72" s="54">
        <f>IF(AND(YEAR(AP$4)&gt;YEAR($E72),$I72&gt;0),MIN($I72/$I$50,$I72-SUM($W72:AO72)),0)</f>
        <v>6.6845603952771047</v>
      </c>
      <c r="AQ72" s="54">
        <f>IF(AND(YEAR(AQ$4)&gt;YEAR($E72),$I72&gt;0),MIN($I72/$I$50,$I72-SUM($W72:AP72)),0)</f>
        <v>6.6845603952771047</v>
      </c>
      <c r="AR72" s="54">
        <f>IF(AND(YEAR(AR$4)&gt;YEAR($E72),$I72&gt;0),MIN($I72/$I$50,$I72-SUM($W72:AQ72)),0)</f>
        <v>6.6845603952771047</v>
      </c>
      <c r="AS72" s="54">
        <f>IF(AND(YEAR(AS$4)&gt;YEAR($E72),$I72&gt;0),MIN($I72/$I$50,$I72-SUM($W72:AR72)),0)</f>
        <v>6.6845603952771047</v>
      </c>
      <c r="AT72" s="87">
        <f>IF(AND(YEAR(AT$4)&gt;YEAR($E72),$I72&gt;0),MIN($I72/$I$50,$I72-SUM($W72:AS72)),0)</f>
        <v>6.6845603952771047</v>
      </c>
      <c r="AU72" s="143">
        <f>IF(AND(YEAR(AU$4)&gt;YEAR($E72),$I72&gt;0),MIN($I72/$I$50,$I72-SUM($W72:AT72)),0)</f>
        <v>7.1054273576010019E-15</v>
      </c>
      <c r="AV72" s="54">
        <f>IF(AND(YEAR(AV$4)&gt;YEAR($E72),$I72&gt;0),MIN($I72/$I$50,$I72-SUM($W72:AU72)),0)</f>
        <v>0</v>
      </c>
      <c r="AW72" s="54">
        <f>IF(AND(YEAR(AW$4)&gt;YEAR($E72),$I72&gt;0),MIN($I72/$I$50,$I72-SUM($W72:AV72)),0)</f>
        <v>0</v>
      </c>
      <c r="AX72" s="54">
        <f>IF(AND(YEAR(AX$4)&gt;YEAR($E72),$I72&gt;0),MIN($I72/$I$50,$I72-SUM($W72:AW72)),0)</f>
        <v>0</v>
      </c>
      <c r="AY72" s="54">
        <f>IF(AND(YEAR(AY$4)&gt;YEAR($E72),$I72&gt;0),MIN($I72/$I$50,$I72-SUM($W72:AX72)),0)</f>
        <v>0</v>
      </c>
      <c r="AZ72"/>
      <c r="BA72" s="44" t="str">
        <f t="shared" ca="1" si="5"/>
        <v>Calculations_SO</v>
      </c>
      <c r="BB72" s="1" t="str">
        <f t="shared" si="6"/>
        <v>Depreciation</v>
      </c>
      <c r="BC72" s="116" t="str">
        <f t="shared" si="7"/>
        <v>Straight line depreciation</v>
      </c>
    </row>
    <row r="73" spans="1:55" s="5" customFormat="1" ht="14.5">
      <c r="A73"/>
      <c r="B73" s="6"/>
      <c r="C73" s="6"/>
      <c r="D73" s="43"/>
      <c r="E73" s="109">
        <v>43921</v>
      </c>
      <c r="F73" s="43"/>
      <c r="G73" s="43" t="str">
        <f t="shared" si="4"/>
        <v>£m 23/24 prices</v>
      </c>
      <c r="H73" s="43"/>
      <c r="I73" s="43">
        <v>48.263160058761315</v>
      </c>
      <c r="J73" s="43" t="s">
        <v>10</v>
      </c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54">
        <f>IF(AND(YEAR(X$4)&gt;YEAR($E73),$I73&gt;0),MIN($I73/$I$50,$I73-SUM($W73:W73)),0)</f>
        <v>0</v>
      </c>
      <c r="Y73" s="54">
        <f>IF(AND(YEAR(Y$4)&gt;YEAR($E73),$I73&gt;0),MIN($I73/$I$50,$I73-SUM($W73:X73)),0)</f>
        <v>0</v>
      </c>
      <c r="Z73" s="54">
        <f>IF(AND(YEAR(Z$4)&gt;YEAR($E73),$I73&gt;0),MIN($I73/$I$50,$I73-SUM($W73:Y73)),0)</f>
        <v>0</v>
      </c>
      <c r="AA73" s="54">
        <f>IF(AND(YEAR(AA$4)&gt;YEAR($E73),$I73&gt;0),MIN($I73/$I$50,$I73-SUM($W73:Z73)),0)</f>
        <v>0</v>
      </c>
      <c r="AB73" s="54">
        <f>IF(AND(YEAR(AB$4)&gt;YEAR($E73),$I73&gt;0),MIN($I73/$I$50,$I73-SUM($W73:AA73)),0)</f>
        <v>0</v>
      </c>
      <c r="AC73" s="54">
        <f>IF(AND(YEAR(AC$4)&gt;YEAR($E73),$I73&gt;0),MIN($I73/$I$50,$I73-SUM($W73:AB73)),0)</f>
        <v>0</v>
      </c>
      <c r="AD73" s="54">
        <f>IF(AND(YEAR(AD$4)&gt;YEAR($E73),$I73&gt;0),MIN($I73/$I$50,$I73-SUM($W73:AC73)),0)</f>
        <v>0</v>
      </c>
      <c r="AE73" s="54">
        <f>IF(AND(YEAR(AE$4)&gt;YEAR($E73),$I73&gt;0),MIN($I73/$I$50,$I73-SUM($W73:AD73)),0)</f>
        <v>0</v>
      </c>
      <c r="AF73" s="54">
        <f>IF(AND(YEAR(AF$4)&gt;YEAR($E73),$I73&gt;0),MIN($I73/$I$50,$I73-SUM($W73:AE73)),0)</f>
        <v>0</v>
      </c>
      <c r="AG73" s="54">
        <f>IF(AND(YEAR(AG$4)&gt;YEAR($E73),$I73&gt;0),MIN($I73/$I$50,$I73-SUM($W73:AF73)),0)</f>
        <v>0</v>
      </c>
      <c r="AH73" s="54">
        <f>IF(AND(YEAR(AH$4)&gt;YEAR($E73),$I73&gt;0),MIN($I73/$I$50,$I73-SUM($W73:AG73)),0)</f>
        <v>0</v>
      </c>
      <c r="AI73" s="54">
        <f>IF(AND(YEAR(AI$4)&gt;YEAR($E73),$I73&gt;0),MIN($I73/$I$50,$I73-SUM($W73:AH73)),0)</f>
        <v>0</v>
      </c>
      <c r="AJ73" s="54">
        <f>IF(AND(YEAR(AJ$4)&gt;YEAR($E73),$I73&gt;0),MIN($I73/$I$50,$I73-SUM($W73:AI73)),0)</f>
        <v>0</v>
      </c>
      <c r="AK73" s="54">
        <f>IF(AND(YEAR(AK$4)&gt;YEAR($E73),$I73&gt;0),MIN($I73/$I$50,$I73-SUM($W73:AJ73)),0)</f>
        <v>0</v>
      </c>
      <c r="AL73" s="54">
        <f>IF(AND(YEAR(AL$4)&gt;YEAR($E73),$I73&gt;0),MIN($I73/$I$50,$I73-SUM($W73:AK73)),0)</f>
        <v>0</v>
      </c>
      <c r="AM73" s="54">
        <f>IF(AND(YEAR(AM$4)&gt;YEAR($E73),$I73&gt;0),MIN($I73/$I$50,$I73-SUM($W73:AL73)),0)</f>
        <v>0</v>
      </c>
      <c r="AN73" s="54">
        <f>IF(AND(YEAR(AN$4)&gt;YEAR($E73),$I73&gt;0),MIN($I73/$I$50,$I73-SUM($W73:AM73)),0)</f>
        <v>0</v>
      </c>
      <c r="AO73" s="54">
        <f>IF(AND(YEAR(AO$4)&gt;YEAR($E73),$I73&gt;0),MIN($I73/$I$50,$I73-SUM($W73:AN73)),0)</f>
        <v>6.8947371512516167</v>
      </c>
      <c r="AP73" s="54">
        <f>IF(AND(YEAR(AP$4)&gt;YEAR($E73),$I73&gt;0),MIN($I73/$I$50,$I73-SUM($W73:AO73)),0)</f>
        <v>6.8947371512516167</v>
      </c>
      <c r="AQ73" s="54">
        <f>IF(AND(YEAR(AQ$4)&gt;YEAR($E73),$I73&gt;0),MIN($I73/$I$50,$I73-SUM($W73:AP73)),0)</f>
        <v>6.8947371512516167</v>
      </c>
      <c r="AR73" s="54">
        <f>IF(AND(YEAR(AR$4)&gt;YEAR($E73),$I73&gt;0),MIN($I73/$I$50,$I73-SUM($W73:AQ73)),0)</f>
        <v>6.8947371512516167</v>
      </c>
      <c r="AS73" s="54">
        <f>IF(AND(YEAR(AS$4)&gt;YEAR($E73),$I73&gt;0),MIN($I73/$I$50,$I73-SUM($W73:AR73)),0)</f>
        <v>6.8947371512516167</v>
      </c>
      <c r="AT73" s="87">
        <f>IF(AND(YEAR(AT$4)&gt;YEAR($E73),$I73&gt;0),MIN($I73/$I$50,$I73-SUM($W73:AS73)),0)</f>
        <v>6.8947371512516167</v>
      </c>
      <c r="AU73" s="143">
        <f>IF(AND(YEAR(AU$4)&gt;YEAR($E73),$I73&gt;0),MIN($I73/$I$50,$I73-SUM($W73:AT73)),0)</f>
        <v>6.8947371512516114</v>
      </c>
      <c r="AV73" s="54">
        <f>IF(AND(YEAR(AV$4)&gt;YEAR($E73),$I73&gt;0),MIN($I73/$I$50,$I73-SUM($W73:AU73)),0)</f>
        <v>0</v>
      </c>
      <c r="AW73" s="54">
        <f>IF(AND(YEAR(AW$4)&gt;YEAR($E73),$I73&gt;0),MIN($I73/$I$50,$I73-SUM($W73:AV73)),0)</f>
        <v>0</v>
      </c>
      <c r="AX73" s="54">
        <f>IF(AND(YEAR(AX$4)&gt;YEAR($E73),$I73&gt;0),MIN($I73/$I$50,$I73-SUM($W73:AW73)),0)</f>
        <v>0</v>
      </c>
      <c r="AY73" s="54">
        <f>IF(AND(YEAR(AY$4)&gt;YEAR($E73),$I73&gt;0),MIN($I73/$I$50,$I73-SUM($W73:AX73)),0)</f>
        <v>0</v>
      </c>
      <c r="AZ73"/>
      <c r="BA73" s="44" t="str">
        <f t="shared" ca="1" si="5"/>
        <v>Calculations_SO</v>
      </c>
      <c r="BB73" s="1" t="str">
        <f t="shared" si="6"/>
        <v>Depreciation</v>
      </c>
      <c r="BC73" s="116" t="str">
        <f t="shared" si="7"/>
        <v>Straight line depreciation</v>
      </c>
    </row>
    <row r="74" spans="1:55" s="5" customFormat="1" ht="14.5">
      <c r="A74"/>
      <c r="B74" s="6"/>
      <c r="C74" s="6"/>
      <c r="D74" s="43"/>
      <c r="E74" s="109">
        <v>44286</v>
      </c>
      <c r="F74" s="43"/>
      <c r="G74" s="43" t="str">
        <f t="shared" si="4"/>
        <v>£m 23/24 prices</v>
      </c>
      <c r="H74" s="43"/>
      <c r="I74" s="43">
        <v>45.386552517745301</v>
      </c>
      <c r="J74" s="43" t="s">
        <v>10</v>
      </c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54">
        <f>IF(AND(YEAR(X$4)&gt;YEAR($E74),$I74&gt;0),MIN($I74/$I$50,$I74-SUM($W74:W74)),0)</f>
        <v>0</v>
      </c>
      <c r="Y74" s="54">
        <f>IF(AND(YEAR(Y$4)&gt;YEAR($E74),$I74&gt;0),MIN($I74/$I$50,$I74-SUM($W74:X74)),0)</f>
        <v>0</v>
      </c>
      <c r="Z74" s="54">
        <f>IF(AND(YEAR(Z$4)&gt;YEAR($E74),$I74&gt;0),MIN($I74/$I$50,$I74-SUM($W74:Y74)),0)</f>
        <v>0</v>
      </c>
      <c r="AA74" s="54">
        <f>IF(AND(YEAR(AA$4)&gt;YEAR($E74),$I74&gt;0),MIN($I74/$I$50,$I74-SUM($W74:Z74)),0)</f>
        <v>0</v>
      </c>
      <c r="AB74" s="54">
        <f>IF(AND(YEAR(AB$4)&gt;YEAR($E74),$I74&gt;0),MIN($I74/$I$50,$I74-SUM($W74:AA74)),0)</f>
        <v>0</v>
      </c>
      <c r="AC74" s="54">
        <f>IF(AND(YEAR(AC$4)&gt;YEAR($E74),$I74&gt;0),MIN($I74/$I$50,$I74-SUM($W74:AB74)),0)</f>
        <v>0</v>
      </c>
      <c r="AD74" s="54">
        <f>IF(AND(YEAR(AD$4)&gt;YEAR($E74),$I74&gt;0),MIN($I74/$I$50,$I74-SUM($W74:AC74)),0)</f>
        <v>0</v>
      </c>
      <c r="AE74" s="54">
        <f>IF(AND(YEAR(AE$4)&gt;YEAR($E74),$I74&gt;0),MIN($I74/$I$50,$I74-SUM($W74:AD74)),0)</f>
        <v>0</v>
      </c>
      <c r="AF74" s="54">
        <f>IF(AND(YEAR(AF$4)&gt;YEAR($E74),$I74&gt;0),MIN($I74/$I$50,$I74-SUM($W74:AE74)),0)</f>
        <v>0</v>
      </c>
      <c r="AG74" s="54">
        <f>IF(AND(YEAR(AG$4)&gt;YEAR($E74),$I74&gt;0),MIN($I74/$I$50,$I74-SUM($W74:AF74)),0)</f>
        <v>0</v>
      </c>
      <c r="AH74" s="54">
        <f>IF(AND(YEAR(AH$4)&gt;YEAR($E74),$I74&gt;0),MIN($I74/$I$50,$I74-SUM($W74:AG74)),0)</f>
        <v>0</v>
      </c>
      <c r="AI74" s="54">
        <f>IF(AND(YEAR(AI$4)&gt;YEAR($E74),$I74&gt;0),MIN($I74/$I$50,$I74-SUM($W74:AH74)),0)</f>
        <v>0</v>
      </c>
      <c r="AJ74" s="54">
        <f>IF(AND(YEAR(AJ$4)&gt;YEAR($E74),$I74&gt;0),MIN($I74/$I$50,$I74-SUM($W74:AI74)),0)</f>
        <v>0</v>
      </c>
      <c r="AK74" s="54">
        <f>IF(AND(YEAR(AK$4)&gt;YEAR($E74),$I74&gt;0),MIN($I74/$I$50,$I74-SUM($W74:AJ74)),0)</f>
        <v>0</v>
      </c>
      <c r="AL74" s="54">
        <f>IF(AND(YEAR(AL$4)&gt;YEAR($E74),$I74&gt;0),MIN($I74/$I$50,$I74-SUM($W74:AK74)),0)</f>
        <v>0</v>
      </c>
      <c r="AM74" s="54">
        <f>IF(AND(YEAR(AM$4)&gt;YEAR($E74),$I74&gt;0),MIN($I74/$I$50,$I74-SUM($W74:AL74)),0)</f>
        <v>0</v>
      </c>
      <c r="AN74" s="54">
        <f>IF(AND(YEAR(AN$4)&gt;YEAR($E74),$I74&gt;0),MIN($I74/$I$50,$I74-SUM($W74:AM74)),0)</f>
        <v>0</v>
      </c>
      <c r="AO74" s="54">
        <f>IF(AND(YEAR(AO$4)&gt;YEAR($E74),$I74&gt;0),MIN($I74/$I$50,$I74-SUM($W74:AN74)),0)</f>
        <v>0</v>
      </c>
      <c r="AP74" s="54">
        <f>IF(AND(YEAR(AP$4)&gt;YEAR($E74),$I74&gt;0),MIN($I74/$I$50,$I74-SUM($W74:AO74)),0)</f>
        <v>6.4837932168207573</v>
      </c>
      <c r="AQ74" s="54">
        <f>IF(AND(YEAR(AQ$4)&gt;YEAR($E74),$I74&gt;0),MIN($I74/$I$50,$I74-SUM($W74:AP74)),0)</f>
        <v>6.4837932168207573</v>
      </c>
      <c r="AR74" s="54">
        <f>IF(AND(YEAR(AR$4)&gt;YEAR($E74),$I74&gt;0),MIN($I74/$I$50,$I74-SUM($W74:AQ74)),0)</f>
        <v>6.4837932168207573</v>
      </c>
      <c r="AS74" s="54">
        <f>IF(AND(YEAR(AS$4)&gt;YEAR($E74),$I74&gt;0),MIN($I74/$I$50,$I74-SUM($W74:AR74)),0)</f>
        <v>6.4837932168207573</v>
      </c>
      <c r="AT74" s="87">
        <f>IF(AND(YEAR(AT$4)&gt;YEAR($E74),$I74&gt;0),MIN($I74/$I$50,$I74-SUM($W74:AS74)),0)</f>
        <v>6.4837932168207573</v>
      </c>
      <c r="AU74" s="143">
        <f>IF(AND(YEAR(AU$4)&gt;YEAR($E74),$I74&gt;0),MIN($I74/$I$50,$I74-SUM($W74:AT74)),0)</f>
        <v>6.4837932168207573</v>
      </c>
      <c r="AV74" s="54">
        <f>IF(AND(YEAR(AV$4)&gt;YEAR($E74),$I74&gt;0),MIN($I74/$I$50,$I74-SUM($W74:AU74)),0)</f>
        <v>6.4837932168207573</v>
      </c>
      <c r="AW74" s="54">
        <f>IF(AND(YEAR(AW$4)&gt;YEAR($E74),$I74&gt;0),MIN($I74/$I$50,$I74-SUM($W74:AV74)),0)</f>
        <v>0</v>
      </c>
      <c r="AX74" s="54">
        <f>IF(AND(YEAR(AX$4)&gt;YEAR($E74),$I74&gt;0),MIN($I74/$I$50,$I74-SUM($W74:AW74)),0)</f>
        <v>0</v>
      </c>
      <c r="AY74" s="54">
        <f>IF(AND(YEAR(AY$4)&gt;YEAR($E74),$I74&gt;0),MIN($I74/$I$50,$I74-SUM($W74:AX74)),0)</f>
        <v>0</v>
      </c>
      <c r="AZ74"/>
      <c r="BA74" s="44" t="str">
        <f t="shared" ca="1" si="5"/>
        <v>Calculations_SO</v>
      </c>
      <c r="BB74" s="1" t="str">
        <f t="shared" si="6"/>
        <v>Depreciation</v>
      </c>
      <c r="BC74" s="116" t="str">
        <f t="shared" si="7"/>
        <v>Straight line depreciation</v>
      </c>
    </row>
    <row r="75" spans="1:55" s="5" customFormat="1" ht="14.5">
      <c r="A75"/>
      <c r="B75" s="6"/>
      <c r="C75" s="6"/>
      <c r="D75" s="43"/>
      <c r="E75" s="109">
        <v>44651</v>
      </c>
      <c r="F75" s="43"/>
      <c r="G75" s="43" t="str">
        <f t="shared" si="4"/>
        <v>£m 23/24 prices</v>
      </c>
      <c r="H75" s="43"/>
      <c r="I75" s="43">
        <v>33.556538549888074</v>
      </c>
      <c r="J75" s="43" t="s">
        <v>10</v>
      </c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54">
        <f>IF(AND(YEAR(X$4)&gt;YEAR($E75),$I75&gt;0),MIN($I75/$I$50,$I75-SUM($W75:W75)),0)</f>
        <v>0</v>
      </c>
      <c r="Y75" s="54">
        <f>IF(AND(YEAR(Y$4)&gt;YEAR($E75),$I75&gt;0),MIN($I75/$I$50,$I75-SUM($W75:X75)),0)</f>
        <v>0</v>
      </c>
      <c r="Z75" s="54">
        <f>IF(AND(YEAR(Z$4)&gt;YEAR($E75),$I75&gt;0),MIN($I75/$I$50,$I75-SUM($W75:Y75)),0)</f>
        <v>0</v>
      </c>
      <c r="AA75" s="54">
        <f>IF(AND(YEAR(AA$4)&gt;YEAR($E75),$I75&gt;0),MIN($I75/$I$50,$I75-SUM($W75:Z75)),0)</f>
        <v>0</v>
      </c>
      <c r="AB75" s="54">
        <f>IF(AND(YEAR(AB$4)&gt;YEAR($E75),$I75&gt;0),MIN($I75/$I$50,$I75-SUM($W75:AA75)),0)</f>
        <v>0</v>
      </c>
      <c r="AC75" s="54">
        <f>IF(AND(YEAR(AC$4)&gt;YEAR($E75),$I75&gt;0),MIN($I75/$I$50,$I75-SUM($W75:AB75)),0)</f>
        <v>0</v>
      </c>
      <c r="AD75" s="54">
        <f>IF(AND(YEAR(AD$4)&gt;YEAR($E75),$I75&gt;0),MIN($I75/$I$50,$I75-SUM($W75:AC75)),0)</f>
        <v>0</v>
      </c>
      <c r="AE75" s="54">
        <f>IF(AND(YEAR(AE$4)&gt;YEAR($E75),$I75&gt;0),MIN($I75/$I$50,$I75-SUM($W75:AD75)),0)</f>
        <v>0</v>
      </c>
      <c r="AF75" s="54">
        <f>IF(AND(YEAR(AF$4)&gt;YEAR($E75),$I75&gt;0),MIN($I75/$I$50,$I75-SUM($W75:AE75)),0)</f>
        <v>0</v>
      </c>
      <c r="AG75" s="54">
        <f>IF(AND(YEAR(AG$4)&gt;YEAR($E75),$I75&gt;0),MIN($I75/$I$50,$I75-SUM($W75:AF75)),0)</f>
        <v>0</v>
      </c>
      <c r="AH75" s="54">
        <f>IF(AND(YEAR(AH$4)&gt;YEAR($E75),$I75&gt;0),MIN($I75/$I$50,$I75-SUM($W75:AG75)),0)</f>
        <v>0</v>
      </c>
      <c r="AI75" s="54">
        <f>IF(AND(YEAR(AI$4)&gt;YEAR($E75),$I75&gt;0),MIN($I75/$I$50,$I75-SUM($W75:AH75)),0)</f>
        <v>0</v>
      </c>
      <c r="AJ75" s="54">
        <f>IF(AND(YEAR(AJ$4)&gt;YEAR($E75),$I75&gt;0),MIN($I75/$I$50,$I75-SUM($W75:AI75)),0)</f>
        <v>0</v>
      </c>
      <c r="AK75" s="54">
        <f>IF(AND(YEAR(AK$4)&gt;YEAR($E75),$I75&gt;0),MIN($I75/$I$50,$I75-SUM($W75:AJ75)),0)</f>
        <v>0</v>
      </c>
      <c r="AL75" s="54">
        <f>IF(AND(YEAR(AL$4)&gt;YEAR($E75),$I75&gt;0),MIN($I75/$I$50,$I75-SUM($W75:AK75)),0)</f>
        <v>0</v>
      </c>
      <c r="AM75" s="54">
        <f>IF(AND(YEAR(AM$4)&gt;YEAR($E75),$I75&gt;0),MIN($I75/$I$50,$I75-SUM($W75:AL75)),0)</f>
        <v>0</v>
      </c>
      <c r="AN75" s="54">
        <f>IF(AND(YEAR(AN$4)&gt;YEAR($E75),$I75&gt;0),MIN($I75/$I$50,$I75-SUM($W75:AM75)),0)</f>
        <v>0</v>
      </c>
      <c r="AO75" s="54">
        <f>IF(AND(YEAR(AO$4)&gt;YEAR($E75),$I75&gt;0),MIN($I75/$I$50,$I75-SUM($W75:AN75)),0)</f>
        <v>0</v>
      </c>
      <c r="AP75" s="54">
        <f>IF(AND(YEAR(AP$4)&gt;YEAR($E75),$I75&gt;0),MIN($I75/$I$50,$I75-SUM($W75:AO75)),0)</f>
        <v>0</v>
      </c>
      <c r="AQ75" s="54">
        <f>IF(AND(YEAR(AQ$4)&gt;YEAR($E75),$I75&gt;0),MIN($I75/$I$50,$I75-SUM($W75:AP75)),0)</f>
        <v>4.7937912214125822</v>
      </c>
      <c r="AR75" s="54">
        <f>IF(AND(YEAR(AR$4)&gt;YEAR($E75),$I75&gt;0),MIN($I75/$I$50,$I75-SUM($W75:AQ75)),0)</f>
        <v>4.7937912214125822</v>
      </c>
      <c r="AS75" s="54">
        <f>IF(AND(YEAR(AS$4)&gt;YEAR($E75),$I75&gt;0),MIN($I75/$I$50,$I75-SUM($W75:AR75)),0)</f>
        <v>4.7937912214125822</v>
      </c>
      <c r="AT75" s="87">
        <f>IF(AND(YEAR(AT$4)&gt;YEAR($E75),$I75&gt;0),MIN($I75/$I$50,$I75-SUM($W75:AS75)),0)</f>
        <v>4.7937912214125822</v>
      </c>
      <c r="AU75" s="143">
        <f>IF(AND(YEAR(AU$4)&gt;YEAR($E75),$I75&gt;0),MIN($I75/$I$50,$I75-SUM($W75:AT75)),0)</f>
        <v>4.7937912214125822</v>
      </c>
      <c r="AV75" s="54">
        <f>IF(AND(YEAR(AV$4)&gt;YEAR($E75),$I75&gt;0),MIN($I75/$I$50,$I75-SUM($W75:AU75)),0)</f>
        <v>4.7937912214125822</v>
      </c>
      <c r="AW75" s="54">
        <f>IF(AND(YEAR(AW$4)&gt;YEAR($E75),$I75&gt;0),MIN($I75/$I$50,$I75-SUM($W75:AV75)),0)</f>
        <v>4.7937912214125795</v>
      </c>
      <c r="AX75" s="54">
        <f>IF(AND(YEAR(AX$4)&gt;YEAR($E75),$I75&gt;0),MIN($I75/$I$50,$I75-SUM($W75:AW75)),0)</f>
        <v>0</v>
      </c>
      <c r="AY75" s="54">
        <f>IF(AND(YEAR(AY$4)&gt;YEAR($E75),$I75&gt;0),MIN($I75/$I$50,$I75-SUM($W75:AX75)),0)</f>
        <v>0</v>
      </c>
      <c r="AZ75"/>
      <c r="BA75" s="44" t="str">
        <f t="shared" ca="1" si="5"/>
        <v>Calculations_SO</v>
      </c>
      <c r="BB75" s="1" t="str">
        <f t="shared" si="6"/>
        <v>Depreciation</v>
      </c>
      <c r="BC75" s="116" t="str">
        <f t="shared" si="7"/>
        <v>Straight line depreciation</v>
      </c>
    </row>
    <row r="76" spans="1:55" s="5" customFormat="1" ht="14.5">
      <c r="A76"/>
      <c r="B76" s="6"/>
      <c r="C76" s="6"/>
      <c r="D76" s="43"/>
      <c r="E76" s="109">
        <v>45016</v>
      </c>
      <c r="F76" s="43"/>
      <c r="G76" s="43" t="str">
        <f t="shared" si="4"/>
        <v>£m 23/24 prices</v>
      </c>
      <c r="H76" s="43"/>
      <c r="I76" s="43">
        <v>32.089398102404324</v>
      </c>
      <c r="J76" s="43" t="s">
        <v>10</v>
      </c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54">
        <f>IF(AND(YEAR(X$4)&gt;YEAR($E76),$I76&gt;0),MIN($I76/$I$50,$I76-SUM($W76:W76)),0)</f>
        <v>0</v>
      </c>
      <c r="Y76" s="54">
        <f>IF(AND(YEAR(Y$4)&gt;YEAR($E76),$I76&gt;0),MIN($I76/$I$50,$I76-SUM($W76:X76)),0)</f>
        <v>0</v>
      </c>
      <c r="Z76" s="54">
        <f>IF(AND(YEAR(Z$4)&gt;YEAR($E76),$I76&gt;0),MIN($I76/$I$50,$I76-SUM($W76:Y76)),0)</f>
        <v>0</v>
      </c>
      <c r="AA76" s="54">
        <f>IF(AND(YEAR(AA$4)&gt;YEAR($E76),$I76&gt;0),MIN($I76/$I$50,$I76-SUM($W76:Z76)),0)</f>
        <v>0</v>
      </c>
      <c r="AB76" s="54">
        <f>IF(AND(YEAR(AB$4)&gt;YEAR($E76),$I76&gt;0),MIN($I76/$I$50,$I76-SUM($W76:AA76)),0)</f>
        <v>0</v>
      </c>
      <c r="AC76" s="54">
        <f>IF(AND(YEAR(AC$4)&gt;YEAR($E76),$I76&gt;0),MIN($I76/$I$50,$I76-SUM($W76:AB76)),0)</f>
        <v>0</v>
      </c>
      <c r="AD76" s="54">
        <f>IF(AND(YEAR(AD$4)&gt;YEAR($E76),$I76&gt;0),MIN($I76/$I$50,$I76-SUM($W76:AC76)),0)</f>
        <v>0</v>
      </c>
      <c r="AE76" s="54">
        <f>IF(AND(YEAR(AE$4)&gt;YEAR($E76),$I76&gt;0),MIN($I76/$I$50,$I76-SUM($W76:AD76)),0)</f>
        <v>0</v>
      </c>
      <c r="AF76" s="54">
        <f>IF(AND(YEAR(AF$4)&gt;YEAR($E76),$I76&gt;0),MIN($I76/$I$50,$I76-SUM($W76:AE76)),0)</f>
        <v>0</v>
      </c>
      <c r="AG76" s="54">
        <f>IF(AND(YEAR(AG$4)&gt;YEAR($E76),$I76&gt;0),MIN($I76/$I$50,$I76-SUM($W76:AF76)),0)</f>
        <v>0</v>
      </c>
      <c r="AH76" s="54">
        <f>IF(AND(YEAR(AH$4)&gt;YEAR($E76),$I76&gt;0),MIN($I76/$I$50,$I76-SUM($W76:AG76)),0)</f>
        <v>0</v>
      </c>
      <c r="AI76" s="54">
        <f>IF(AND(YEAR(AI$4)&gt;YEAR($E76),$I76&gt;0),MIN($I76/$I$50,$I76-SUM($W76:AH76)),0)</f>
        <v>0</v>
      </c>
      <c r="AJ76" s="54">
        <f>IF(AND(YEAR(AJ$4)&gt;YEAR($E76),$I76&gt;0),MIN($I76/$I$50,$I76-SUM($W76:AI76)),0)</f>
        <v>0</v>
      </c>
      <c r="AK76" s="54">
        <f>IF(AND(YEAR(AK$4)&gt;YEAR($E76),$I76&gt;0),MIN($I76/$I$50,$I76-SUM($W76:AJ76)),0)</f>
        <v>0</v>
      </c>
      <c r="AL76" s="54">
        <f>IF(AND(YEAR(AL$4)&gt;YEAR($E76),$I76&gt;0),MIN($I76/$I$50,$I76-SUM($W76:AK76)),0)</f>
        <v>0</v>
      </c>
      <c r="AM76" s="54">
        <f>IF(AND(YEAR(AM$4)&gt;YEAR($E76),$I76&gt;0),MIN($I76/$I$50,$I76-SUM($W76:AL76)),0)</f>
        <v>0</v>
      </c>
      <c r="AN76" s="54">
        <f>IF(AND(YEAR(AN$4)&gt;YEAR($E76),$I76&gt;0),MIN($I76/$I$50,$I76-SUM($W76:AM76)),0)</f>
        <v>0</v>
      </c>
      <c r="AO76" s="54">
        <f>IF(AND(YEAR(AO$4)&gt;YEAR($E76),$I76&gt;0),MIN($I76/$I$50,$I76-SUM($W76:AN76)),0)</f>
        <v>0</v>
      </c>
      <c r="AP76" s="54">
        <f>IF(AND(YEAR(AP$4)&gt;YEAR($E76),$I76&gt;0),MIN($I76/$I$50,$I76-SUM($W76:AO76)),0)</f>
        <v>0</v>
      </c>
      <c r="AQ76" s="54">
        <f>IF(AND(YEAR(AQ$4)&gt;YEAR($E76),$I76&gt;0),MIN($I76/$I$50,$I76-SUM($W76:AP76)),0)</f>
        <v>0</v>
      </c>
      <c r="AR76" s="54">
        <f>IF(AND(YEAR(AR$4)&gt;YEAR($E76),$I76&gt;0),MIN($I76/$I$50,$I76-SUM($W76:AQ76)),0)</f>
        <v>4.5841997289149035</v>
      </c>
      <c r="AS76" s="54">
        <f>IF(AND(YEAR(AS$4)&gt;YEAR($E76),$I76&gt;0),MIN($I76/$I$50,$I76-SUM($W76:AR76)),0)</f>
        <v>4.5841997289149035</v>
      </c>
      <c r="AT76" s="87">
        <f>IF(AND(YEAR(AT$4)&gt;YEAR($E76),$I76&gt;0),MIN($I76/$I$50,$I76-SUM($W76:AS76)),0)</f>
        <v>4.5841997289149035</v>
      </c>
      <c r="AU76" s="143">
        <f>IF(AND(YEAR(AU$4)&gt;YEAR($E76),$I76&gt;0),MIN($I76/$I$50,$I76-SUM($W76:AT76)),0)</f>
        <v>4.5841997289149035</v>
      </c>
      <c r="AV76" s="54">
        <f>IF(AND(YEAR(AV$4)&gt;YEAR($E76),$I76&gt;0),MIN($I76/$I$50,$I76-SUM($W76:AU76)),0)</f>
        <v>4.5841997289149035</v>
      </c>
      <c r="AW76" s="54">
        <f>IF(AND(YEAR(AW$4)&gt;YEAR($E76),$I76&gt;0),MIN($I76/$I$50,$I76-SUM($W76:AV76)),0)</f>
        <v>4.5841997289149035</v>
      </c>
      <c r="AX76" s="54">
        <f>IF(AND(YEAR(AX$4)&gt;YEAR($E76),$I76&gt;0),MIN($I76/$I$50,$I76-SUM($W76:AW76)),0)</f>
        <v>4.5841997289149035</v>
      </c>
      <c r="AY76" s="54">
        <f>IF(AND(YEAR(AY$4)&gt;YEAR($E76),$I76&gt;0),MIN($I76/$I$50,$I76-SUM($W76:AX76)),0)</f>
        <v>0</v>
      </c>
      <c r="AZ76"/>
      <c r="BA76" s="44" t="str">
        <f t="shared" ca="1" si="5"/>
        <v>Calculations_SO</v>
      </c>
      <c r="BB76" s="1" t="str">
        <f t="shared" si="6"/>
        <v>Depreciation</v>
      </c>
      <c r="BC76" s="116" t="str">
        <f t="shared" si="7"/>
        <v>Straight line depreciation</v>
      </c>
    </row>
    <row r="77" spans="1:55" s="5" customFormat="1" ht="14.5">
      <c r="A77"/>
      <c r="B77" s="6"/>
      <c r="C77" s="6"/>
      <c r="D77" s="43"/>
      <c r="E77" s="109">
        <v>45382</v>
      </c>
      <c r="F77" s="43"/>
      <c r="G77" s="43" t="str">
        <f t="shared" si="4"/>
        <v>£m 23/24 prices</v>
      </c>
      <c r="H77" s="43"/>
      <c r="I77" s="43">
        <v>38.057570922873104</v>
      </c>
      <c r="J77" s="43" t="s">
        <v>10</v>
      </c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54">
        <f>IF(AND(YEAR(X$4)&gt;YEAR($E77),$I77&gt;0),MIN($I77/$I$50,$I77-SUM($W77:W77)),0)</f>
        <v>0</v>
      </c>
      <c r="Y77" s="54">
        <f>IF(AND(YEAR(Y$4)&gt;YEAR($E77),$I77&gt;0),MIN($I77/$I$50,$I77-SUM($W77:X77)),0)</f>
        <v>0</v>
      </c>
      <c r="Z77" s="54">
        <f>IF(AND(YEAR(Z$4)&gt;YEAR($E77),$I77&gt;0),MIN($I77/$I$50,$I77-SUM($W77:Y77)),0)</f>
        <v>0</v>
      </c>
      <c r="AA77" s="54">
        <f>IF(AND(YEAR(AA$4)&gt;YEAR($E77),$I77&gt;0),MIN($I77/$I$50,$I77-SUM($W77:Z77)),0)</f>
        <v>0</v>
      </c>
      <c r="AB77" s="54">
        <f>IF(AND(YEAR(AB$4)&gt;YEAR($E77),$I77&gt;0),MIN($I77/$I$50,$I77-SUM($W77:AA77)),0)</f>
        <v>0</v>
      </c>
      <c r="AC77" s="54">
        <f>IF(AND(YEAR(AC$4)&gt;YEAR($E77),$I77&gt;0),MIN($I77/$I$50,$I77-SUM($W77:AB77)),0)</f>
        <v>0</v>
      </c>
      <c r="AD77" s="54">
        <f>IF(AND(YEAR(AD$4)&gt;YEAR($E77),$I77&gt;0),MIN($I77/$I$50,$I77-SUM($W77:AC77)),0)</f>
        <v>0</v>
      </c>
      <c r="AE77" s="54">
        <f>IF(AND(YEAR(AE$4)&gt;YEAR($E77),$I77&gt;0),MIN($I77/$I$50,$I77-SUM($W77:AD77)),0)</f>
        <v>0</v>
      </c>
      <c r="AF77" s="54">
        <f>IF(AND(YEAR(AF$4)&gt;YEAR($E77),$I77&gt;0),MIN($I77/$I$50,$I77-SUM($W77:AE77)),0)</f>
        <v>0</v>
      </c>
      <c r="AG77" s="54">
        <f>IF(AND(YEAR(AG$4)&gt;YEAR($E77),$I77&gt;0),MIN($I77/$I$50,$I77-SUM($W77:AF77)),0)</f>
        <v>0</v>
      </c>
      <c r="AH77" s="54">
        <f>IF(AND(YEAR(AH$4)&gt;YEAR($E77),$I77&gt;0),MIN($I77/$I$50,$I77-SUM($W77:AG77)),0)</f>
        <v>0</v>
      </c>
      <c r="AI77" s="54">
        <f>IF(AND(YEAR(AI$4)&gt;YEAR($E77),$I77&gt;0),MIN($I77/$I$50,$I77-SUM($W77:AH77)),0)</f>
        <v>0</v>
      </c>
      <c r="AJ77" s="54">
        <f>IF(AND(YEAR(AJ$4)&gt;YEAR($E77),$I77&gt;0),MIN($I77/$I$50,$I77-SUM($W77:AI77)),0)</f>
        <v>0</v>
      </c>
      <c r="AK77" s="54">
        <f>IF(AND(YEAR(AK$4)&gt;YEAR($E77),$I77&gt;0),MIN($I77/$I$50,$I77-SUM($W77:AJ77)),0)</f>
        <v>0</v>
      </c>
      <c r="AL77" s="54">
        <f>IF(AND(YEAR(AL$4)&gt;YEAR($E77),$I77&gt;0),MIN($I77/$I$50,$I77-SUM($W77:AK77)),0)</f>
        <v>0</v>
      </c>
      <c r="AM77" s="54">
        <f>IF(AND(YEAR(AM$4)&gt;YEAR($E77),$I77&gt;0),MIN($I77/$I$50,$I77-SUM($W77:AL77)),0)</f>
        <v>0</v>
      </c>
      <c r="AN77" s="54">
        <f>IF(AND(YEAR(AN$4)&gt;YEAR($E77),$I77&gt;0),MIN($I77/$I$50,$I77-SUM($W77:AM77)),0)</f>
        <v>0</v>
      </c>
      <c r="AO77" s="54">
        <f>IF(AND(YEAR(AO$4)&gt;YEAR($E77),$I77&gt;0),MIN($I77/$I$50,$I77-SUM($W77:AN77)),0)</f>
        <v>0</v>
      </c>
      <c r="AP77" s="54">
        <f>IF(AND(YEAR(AP$4)&gt;YEAR($E77),$I77&gt;0),MIN($I77/$I$50,$I77-SUM($W77:AO77)),0)</f>
        <v>0</v>
      </c>
      <c r="AQ77" s="54">
        <f>IF(AND(YEAR(AQ$4)&gt;YEAR($E77),$I77&gt;0),MIN($I77/$I$50,$I77-SUM($W77:AP77)),0)</f>
        <v>0</v>
      </c>
      <c r="AR77" s="54">
        <f>IF(AND(YEAR(AR$4)&gt;YEAR($E77),$I77&gt;0),MIN($I77/$I$50,$I77-SUM($W77:AQ77)),0)</f>
        <v>0</v>
      </c>
      <c r="AS77" s="54">
        <f>IF(AND(YEAR(AS$4)&gt;YEAR($E77),$I77&gt;0),MIN($I77/$I$50,$I77-SUM($W77:AR77)),0)</f>
        <v>5.4367958461247294</v>
      </c>
      <c r="AT77" s="87">
        <f>IF(AND(YEAR(AT$4)&gt;YEAR($E77),$I77&gt;0),MIN($I77/$I$50,$I77-SUM($W77:AS77)),0)</f>
        <v>5.4367958461247294</v>
      </c>
      <c r="AU77" s="143">
        <f>IF(AND(YEAR(AU$4)&gt;YEAR($E77),$I77&gt;0),MIN($I77/$I$50,$I77-SUM($W77:AT77)),0)</f>
        <v>5.4367958461247294</v>
      </c>
      <c r="AV77" s="54">
        <f>IF(AND(YEAR(AV$4)&gt;YEAR($E77),$I77&gt;0),MIN($I77/$I$50,$I77-SUM($W77:AU77)),0)</f>
        <v>5.4367958461247294</v>
      </c>
      <c r="AW77" s="54">
        <f>IF(AND(YEAR(AW$4)&gt;YEAR($E77),$I77&gt;0),MIN($I77/$I$50,$I77-SUM($W77:AV77)),0)</f>
        <v>5.4367958461247294</v>
      </c>
      <c r="AX77" s="54">
        <f>IF(AND(YEAR(AX$4)&gt;YEAR($E77),$I77&gt;0),MIN($I77/$I$50,$I77-SUM($W77:AW77)),0)</f>
        <v>5.4367958461247294</v>
      </c>
      <c r="AY77" s="54">
        <f>IF(AND(YEAR(AY$4)&gt;YEAR($E77),$I77&gt;0),MIN($I77/$I$50,$I77-SUM($W77:AX77)),0)</f>
        <v>5.4367958461247241</v>
      </c>
      <c r="AZ77"/>
      <c r="BA77" s="44" t="str">
        <f t="shared" ca="1" si="5"/>
        <v>Calculations_SO</v>
      </c>
      <c r="BB77" s="1" t="str">
        <f t="shared" si="6"/>
        <v>Depreciation</v>
      </c>
      <c r="BC77" s="116" t="str">
        <f t="shared" si="7"/>
        <v>Straight line depreciation</v>
      </c>
    </row>
    <row r="78" spans="1:55" s="5" customFormat="1" ht="14.5">
      <c r="A78"/>
      <c r="B78" s="6"/>
      <c r="C78" s="6"/>
      <c r="D78" s="43"/>
      <c r="E78" s="109">
        <v>45747</v>
      </c>
      <c r="F78" s="43"/>
      <c r="G78" s="43" t="str">
        <f t="shared" si="4"/>
        <v>£m 23/24 prices</v>
      </c>
      <c r="H78" s="43"/>
      <c r="I78" s="43">
        <v>39.847141595382205</v>
      </c>
      <c r="J78" s="43" t="s">
        <v>10</v>
      </c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54">
        <f>IF(AND(YEAR(X$4)&gt;YEAR($E78),$I78&gt;0),MIN($I78/$I$50,$I78-SUM($W78:W78)),0)</f>
        <v>0</v>
      </c>
      <c r="Y78" s="54">
        <f>IF(AND(YEAR(Y$4)&gt;YEAR($E78),$I78&gt;0),MIN($I78/$I$50,$I78-SUM($W78:X78)),0)</f>
        <v>0</v>
      </c>
      <c r="Z78" s="54">
        <f>IF(AND(YEAR(Z$4)&gt;YEAR($E78),$I78&gt;0),MIN($I78/$I$50,$I78-SUM($W78:Y78)),0)</f>
        <v>0</v>
      </c>
      <c r="AA78" s="54">
        <f>IF(AND(YEAR(AA$4)&gt;YEAR($E78),$I78&gt;0),MIN($I78/$I$50,$I78-SUM($W78:Z78)),0)</f>
        <v>0</v>
      </c>
      <c r="AB78" s="54">
        <f>IF(AND(YEAR(AB$4)&gt;YEAR($E78),$I78&gt;0),MIN($I78/$I$50,$I78-SUM($W78:AA78)),0)</f>
        <v>0</v>
      </c>
      <c r="AC78" s="54">
        <f>IF(AND(YEAR(AC$4)&gt;YEAR($E78),$I78&gt;0),MIN($I78/$I$50,$I78-SUM($W78:AB78)),0)</f>
        <v>0</v>
      </c>
      <c r="AD78" s="54">
        <f>IF(AND(YEAR(AD$4)&gt;YEAR($E78),$I78&gt;0),MIN($I78/$I$50,$I78-SUM($W78:AC78)),0)</f>
        <v>0</v>
      </c>
      <c r="AE78" s="54">
        <f>IF(AND(YEAR(AE$4)&gt;YEAR($E78),$I78&gt;0),MIN($I78/$I$50,$I78-SUM($W78:AD78)),0)</f>
        <v>0</v>
      </c>
      <c r="AF78" s="54">
        <f>IF(AND(YEAR(AF$4)&gt;YEAR($E78),$I78&gt;0),MIN($I78/$I$50,$I78-SUM($W78:AE78)),0)</f>
        <v>0</v>
      </c>
      <c r="AG78" s="54">
        <f>IF(AND(YEAR(AG$4)&gt;YEAR($E78),$I78&gt;0),MIN($I78/$I$50,$I78-SUM($W78:AF78)),0)</f>
        <v>0</v>
      </c>
      <c r="AH78" s="54">
        <f>IF(AND(YEAR(AH$4)&gt;YEAR($E78),$I78&gt;0),MIN($I78/$I$50,$I78-SUM($W78:AG78)),0)</f>
        <v>0</v>
      </c>
      <c r="AI78" s="54">
        <f>IF(AND(YEAR(AI$4)&gt;YEAR($E78),$I78&gt;0),MIN($I78/$I$50,$I78-SUM($W78:AH78)),0)</f>
        <v>0</v>
      </c>
      <c r="AJ78" s="54">
        <f>IF(AND(YEAR(AJ$4)&gt;YEAR($E78),$I78&gt;0),MIN($I78/$I$50,$I78-SUM($W78:AI78)),0)</f>
        <v>0</v>
      </c>
      <c r="AK78" s="54">
        <f>IF(AND(YEAR(AK$4)&gt;YEAR($E78),$I78&gt;0),MIN($I78/$I$50,$I78-SUM($W78:AJ78)),0)</f>
        <v>0</v>
      </c>
      <c r="AL78" s="54">
        <f>IF(AND(YEAR(AL$4)&gt;YEAR($E78),$I78&gt;0),MIN($I78/$I$50,$I78-SUM($W78:AK78)),0)</f>
        <v>0</v>
      </c>
      <c r="AM78" s="54">
        <f>IF(AND(YEAR(AM$4)&gt;YEAR($E78),$I78&gt;0),MIN($I78/$I$50,$I78-SUM($W78:AL78)),0)</f>
        <v>0</v>
      </c>
      <c r="AN78" s="54">
        <f>IF(AND(YEAR(AN$4)&gt;YEAR($E78),$I78&gt;0),MIN($I78/$I$50,$I78-SUM($W78:AM78)),0)</f>
        <v>0</v>
      </c>
      <c r="AO78" s="54">
        <f>IF(AND(YEAR(AO$4)&gt;YEAR($E78),$I78&gt;0),MIN($I78/$I$50,$I78-SUM($W78:AN78)),0)</f>
        <v>0</v>
      </c>
      <c r="AP78" s="54">
        <f>IF(AND(YEAR(AP$4)&gt;YEAR($E78),$I78&gt;0),MIN($I78/$I$50,$I78-SUM($W78:AO78)),0)</f>
        <v>0</v>
      </c>
      <c r="AQ78" s="54">
        <f>IF(AND(YEAR(AQ$4)&gt;YEAR($E78),$I78&gt;0),MIN($I78/$I$50,$I78-SUM($W78:AP78)),0)</f>
        <v>0</v>
      </c>
      <c r="AR78" s="54">
        <f>IF(AND(YEAR(AR$4)&gt;YEAR($E78),$I78&gt;0),MIN($I78/$I$50,$I78-SUM($W78:AQ78)),0)</f>
        <v>0</v>
      </c>
      <c r="AS78" s="54">
        <f>IF(AND(YEAR(AS$4)&gt;YEAR($E78),$I78&gt;0),MIN($I78/$I$50,$I78-SUM($W78:AR78)),0)</f>
        <v>0</v>
      </c>
      <c r="AT78" s="87">
        <f>IF(AND(YEAR(AT$4)&gt;YEAR($E78),$I78&gt;0),MIN($I78/$I$50,$I78-SUM($W78:AS78)),0)</f>
        <v>5.6924487993403146</v>
      </c>
      <c r="AU78" s="143">
        <f>IF(AND(YEAR(AU$4)&gt;YEAR($E78),$I78&gt;0),MIN($I78/$I$50,$I78-SUM($W78:AT78)),0)</f>
        <v>5.6924487993403146</v>
      </c>
      <c r="AV78" s="54">
        <f>IF(AND(YEAR(AV$4)&gt;YEAR($E78),$I78&gt;0),MIN($I78/$I$50,$I78-SUM($W78:AU78)),0)</f>
        <v>5.6924487993403146</v>
      </c>
      <c r="AW78" s="54">
        <f>IF(AND(YEAR(AW$4)&gt;YEAR($E78),$I78&gt;0),MIN($I78/$I$50,$I78-SUM($W78:AV78)),0)</f>
        <v>5.6924487993403146</v>
      </c>
      <c r="AX78" s="54">
        <f>IF(AND(YEAR(AX$4)&gt;YEAR($E78),$I78&gt;0),MIN($I78/$I$50,$I78-SUM($W78:AW78)),0)</f>
        <v>5.6924487993403146</v>
      </c>
      <c r="AY78" s="54">
        <f>IF(AND(YEAR(AY$4)&gt;YEAR($E78),$I78&gt;0),MIN($I78/$I$50,$I78-SUM($W78:AX78)),0)</f>
        <v>5.6924487993403146</v>
      </c>
      <c r="AZ78"/>
      <c r="BA78" s="44" t="str">
        <f t="shared" ca="1" si="5"/>
        <v>Calculations_SO</v>
      </c>
      <c r="BB78" s="1" t="str">
        <f t="shared" si="6"/>
        <v>Depreciation</v>
      </c>
      <c r="BC78" s="116" t="str">
        <f t="shared" si="7"/>
        <v>Straight line depreciation</v>
      </c>
    </row>
    <row r="79" spans="1:55" s="5" customFormat="1" ht="14.5">
      <c r="A79"/>
      <c r="B79" s="6"/>
      <c r="C79" s="6"/>
      <c r="D79" s="43"/>
      <c r="E79" s="109">
        <v>46112</v>
      </c>
      <c r="F79" s="43"/>
      <c r="G79" s="43" t="str">
        <f t="shared" si="4"/>
        <v>£m 23/24 prices</v>
      </c>
      <c r="H79" s="43"/>
      <c r="I79" s="43">
        <v>44.91818041237466</v>
      </c>
      <c r="J79" s="43" t="s">
        <v>10</v>
      </c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54">
        <f>IF(AND(YEAR(X$4)&gt;YEAR($E79),$I79&gt;0),MIN($I79/$I$50,$I79-SUM($W79:W79)),0)</f>
        <v>0</v>
      </c>
      <c r="Y79" s="54">
        <f>IF(AND(YEAR(Y$4)&gt;YEAR($E79),$I79&gt;0),MIN($I79/$I$50,$I79-SUM($W79:X79)),0)</f>
        <v>0</v>
      </c>
      <c r="Z79" s="54">
        <f>IF(AND(YEAR(Z$4)&gt;YEAR($E79),$I79&gt;0),MIN($I79/$I$50,$I79-SUM($W79:Y79)),0)</f>
        <v>0</v>
      </c>
      <c r="AA79" s="54">
        <f>IF(AND(YEAR(AA$4)&gt;YEAR($E79),$I79&gt;0),MIN($I79/$I$50,$I79-SUM($W79:Z79)),0)</f>
        <v>0</v>
      </c>
      <c r="AB79" s="54">
        <f>IF(AND(YEAR(AB$4)&gt;YEAR($E79),$I79&gt;0),MIN($I79/$I$50,$I79-SUM($W79:AA79)),0)</f>
        <v>0</v>
      </c>
      <c r="AC79" s="54">
        <f>IF(AND(YEAR(AC$4)&gt;YEAR($E79),$I79&gt;0),MIN($I79/$I$50,$I79-SUM($W79:AB79)),0)</f>
        <v>0</v>
      </c>
      <c r="AD79" s="54">
        <f>IF(AND(YEAR(AD$4)&gt;YEAR($E79),$I79&gt;0),MIN($I79/$I$50,$I79-SUM($W79:AC79)),0)</f>
        <v>0</v>
      </c>
      <c r="AE79" s="54">
        <f>IF(AND(YEAR(AE$4)&gt;YEAR($E79),$I79&gt;0),MIN($I79/$I$50,$I79-SUM($W79:AD79)),0)</f>
        <v>0</v>
      </c>
      <c r="AF79" s="54">
        <f>IF(AND(YEAR(AF$4)&gt;YEAR($E79),$I79&gt;0),MIN($I79/$I$50,$I79-SUM($W79:AE79)),0)</f>
        <v>0</v>
      </c>
      <c r="AG79" s="54">
        <f>IF(AND(YEAR(AG$4)&gt;YEAR($E79),$I79&gt;0),MIN($I79/$I$50,$I79-SUM($W79:AF79)),0)</f>
        <v>0</v>
      </c>
      <c r="AH79" s="54">
        <f>IF(AND(YEAR(AH$4)&gt;YEAR($E79),$I79&gt;0),MIN($I79/$I$50,$I79-SUM($W79:AG79)),0)</f>
        <v>0</v>
      </c>
      <c r="AI79" s="54">
        <f>IF(AND(YEAR(AI$4)&gt;YEAR($E79),$I79&gt;0),MIN($I79/$I$50,$I79-SUM($W79:AH79)),0)</f>
        <v>0</v>
      </c>
      <c r="AJ79" s="54">
        <f>IF(AND(YEAR(AJ$4)&gt;YEAR($E79),$I79&gt;0),MIN($I79/$I$50,$I79-SUM($W79:AI79)),0)</f>
        <v>0</v>
      </c>
      <c r="AK79" s="54">
        <f>IF(AND(YEAR(AK$4)&gt;YEAR($E79),$I79&gt;0),MIN($I79/$I$50,$I79-SUM($W79:AJ79)),0)</f>
        <v>0</v>
      </c>
      <c r="AL79" s="54">
        <f>IF(AND(YEAR(AL$4)&gt;YEAR($E79),$I79&gt;0),MIN($I79/$I$50,$I79-SUM($W79:AK79)),0)</f>
        <v>0</v>
      </c>
      <c r="AM79" s="54">
        <f>IF(AND(YEAR(AM$4)&gt;YEAR($E79),$I79&gt;0),MIN($I79/$I$50,$I79-SUM($W79:AL79)),0)</f>
        <v>0</v>
      </c>
      <c r="AN79" s="54">
        <f>IF(AND(YEAR(AN$4)&gt;YEAR($E79),$I79&gt;0),MIN($I79/$I$50,$I79-SUM($W79:AM79)),0)</f>
        <v>0</v>
      </c>
      <c r="AO79" s="54">
        <f>IF(AND(YEAR(AO$4)&gt;YEAR($E79),$I79&gt;0),MIN($I79/$I$50,$I79-SUM($W79:AN79)),0)</f>
        <v>0</v>
      </c>
      <c r="AP79" s="54">
        <f>IF(AND(YEAR(AP$4)&gt;YEAR($E79),$I79&gt;0),MIN($I79/$I$50,$I79-SUM($W79:AO79)),0)</f>
        <v>0</v>
      </c>
      <c r="AQ79" s="54">
        <f>IF(AND(YEAR(AQ$4)&gt;YEAR($E79),$I79&gt;0),MIN($I79/$I$50,$I79-SUM($W79:AP79)),0)</f>
        <v>0</v>
      </c>
      <c r="AR79" s="54">
        <f>IF(AND(YEAR(AR$4)&gt;YEAR($E79),$I79&gt;0),MIN($I79/$I$50,$I79-SUM($W79:AQ79)),0)</f>
        <v>0</v>
      </c>
      <c r="AS79" s="54">
        <f>IF(AND(YEAR(AS$4)&gt;YEAR($E79),$I79&gt;0),MIN($I79/$I$50,$I79-SUM($W79:AR79)),0)</f>
        <v>0</v>
      </c>
      <c r="AT79" s="87">
        <f>IF(AND(YEAR(AT$4)&gt;YEAR($E79),$I79&gt;0),MIN($I79/$I$50,$I79-SUM($W79:AS79)),0)</f>
        <v>0</v>
      </c>
      <c r="AU79" s="143">
        <f>IF(AND(YEAR(AU$4)&gt;YEAR($E79),$I79&gt;0),MIN($I79/$I$50,$I79-SUM($W79:AT79)),0)</f>
        <v>6.416882916053523</v>
      </c>
      <c r="AV79" s="54">
        <f>IF(AND(YEAR(AV$4)&gt;YEAR($E79),$I79&gt;0),MIN($I79/$I$50,$I79-SUM($W79:AU79)),0)</f>
        <v>6.416882916053523</v>
      </c>
      <c r="AW79" s="54">
        <f>IF(AND(YEAR(AW$4)&gt;YEAR($E79),$I79&gt;0),MIN($I79/$I$50,$I79-SUM($W79:AV79)),0)</f>
        <v>6.416882916053523</v>
      </c>
      <c r="AX79" s="54">
        <f>IF(AND(YEAR(AX$4)&gt;YEAR($E79),$I79&gt;0),MIN($I79/$I$50,$I79-SUM($W79:AW79)),0)</f>
        <v>6.416882916053523</v>
      </c>
      <c r="AY79" s="54">
        <f>IF(AND(YEAR(AY$4)&gt;YEAR($E79),$I79&gt;0),MIN($I79/$I$50,$I79-SUM($W79:AX79)),0)</f>
        <v>6.416882916053523</v>
      </c>
      <c r="AZ79"/>
      <c r="BA79" s="44" t="str">
        <f t="shared" ca="1" si="5"/>
        <v>Calculations_SO</v>
      </c>
      <c r="BB79" s="1" t="str">
        <f t="shared" si="6"/>
        <v>Depreciation</v>
      </c>
      <c r="BC79" s="116" t="str">
        <f t="shared" si="7"/>
        <v>Straight line depreciation</v>
      </c>
    </row>
    <row r="80" spans="1:55" s="5" customFormat="1" ht="14.5">
      <c r="A80"/>
      <c r="B80" s="6"/>
      <c r="C80" s="6"/>
      <c r="D80" s="43"/>
      <c r="E80" s="109">
        <v>46477</v>
      </c>
      <c r="F80" s="43"/>
      <c r="G80" s="43" t="str">
        <f t="shared" si="4"/>
        <v>£m 23/24 prices</v>
      </c>
      <c r="H80" s="43"/>
      <c r="I80" s="43">
        <v>51.142362399564838</v>
      </c>
      <c r="J80" s="43" t="s">
        <v>10</v>
      </c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54">
        <f>IF(AND(YEAR(X$4)&gt;YEAR($E80),$I80&gt;0),MIN($I80/$I$50,$I80-SUM($W80:W80)),0)</f>
        <v>0</v>
      </c>
      <c r="Y80" s="54">
        <f>IF(AND(YEAR(Y$4)&gt;YEAR($E80),$I80&gt;0),MIN($I80/$I$50,$I80-SUM($W80:X80)),0)</f>
        <v>0</v>
      </c>
      <c r="Z80" s="54">
        <f>IF(AND(YEAR(Z$4)&gt;YEAR($E80),$I80&gt;0),MIN($I80/$I$50,$I80-SUM($W80:Y80)),0)</f>
        <v>0</v>
      </c>
      <c r="AA80" s="54">
        <f>IF(AND(YEAR(AA$4)&gt;YEAR($E80),$I80&gt;0),MIN($I80/$I$50,$I80-SUM($W80:Z80)),0)</f>
        <v>0</v>
      </c>
      <c r="AB80" s="54">
        <f>IF(AND(YEAR(AB$4)&gt;YEAR($E80),$I80&gt;0),MIN($I80/$I$50,$I80-SUM($W80:AA80)),0)</f>
        <v>0</v>
      </c>
      <c r="AC80" s="54">
        <f>IF(AND(YEAR(AC$4)&gt;YEAR($E80),$I80&gt;0),MIN($I80/$I$50,$I80-SUM($W80:AB80)),0)</f>
        <v>0</v>
      </c>
      <c r="AD80" s="54">
        <f>IF(AND(YEAR(AD$4)&gt;YEAR($E80),$I80&gt;0),MIN($I80/$I$50,$I80-SUM($W80:AC80)),0)</f>
        <v>0</v>
      </c>
      <c r="AE80" s="54">
        <f>IF(AND(YEAR(AE$4)&gt;YEAR($E80),$I80&gt;0),MIN($I80/$I$50,$I80-SUM($W80:AD80)),0)</f>
        <v>0</v>
      </c>
      <c r="AF80" s="54">
        <f>IF(AND(YEAR(AF$4)&gt;YEAR($E80),$I80&gt;0),MIN($I80/$I$50,$I80-SUM($W80:AE80)),0)</f>
        <v>0</v>
      </c>
      <c r="AG80" s="54">
        <f>IF(AND(YEAR(AG$4)&gt;YEAR($E80),$I80&gt;0),MIN($I80/$I$50,$I80-SUM($W80:AF80)),0)</f>
        <v>0</v>
      </c>
      <c r="AH80" s="54">
        <f>IF(AND(YEAR(AH$4)&gt;YEAR($E80),$I80&gt;0),MIN($I80/$I$50,$I80-SUM($W80:AG80)),0)</f>
        <v>0</v>
      </c>
      <c r="AI80" s="54">
        <f>IF(AND(YEAR(AI$4)&gt;YEAR($E80),$I80&gt;0),MIN($I80/$I$50,$I80-SUM($W80:AH80)),0)</f>
        <v>0</v>
      </c>
      <c r="AJ80" s="54">
        <f>IF(AND(YEAR(AJ$4)&gt;YEAR($E80),$I80&gt;0),MIN($I80/$I$50,$I80-SUM($W80:AI80)),0)</f>
        <v>0</v>
      </c>
      <c r="AK80" s="54">
        <f>IF(AND(YEAR(AK$4)&gt;YEAR($E80),$I80&gt;0),MIN($I80/$I$50,$I80-SUM($W80:AJ80)),0)</f>
        <v>0</v>
      </c>
      <c r="AL80" s="54">
        <f>IF(AND(YEAR(AL$4)&gt;YEAR($E80),$I80&gt;0),MIN($I80/$I$50,$I80-SUM($W80:AK80)),0)</f>
        <v>0</v>
      </c>
      <c r="AM80" s="54">
        <f>IF(AND(YEAR(AM$4)&gt;YEAR($E80),$I80&gt;0),MIN($I80/$I$50,$I80-SUM($W80:AL80)),0)</f>
        <v>0</v>
      </c>
      <c r="AN80" s="54">
        <f>IF(AND(YEAR(AN$4)&gt;YEAR($E80),$I80&gt;0),MIN($I80/$I$50,$I80-SUM($W80:AM80)),0)</f>
        <v>0</v>
      </c>
      <c r="AO80" s="54">
        <f>IF(AND(YEAR(AO$4)&gt;YEAR($E80),$I80&gt;0),MIN($I80/$I$50,$I80-SUM($W80:AN80)),0)</f>
        <v>0</v>
      </c>
      <c r="AP80" s="54">
        <f>IF(AND(YEAR(AP$4)&gt;YEAR($E80),$I80&gt;0),MIN($I80/$I$50,$I80-SUM($W80:AO80)),0)</f>
        <v>0</v>
      </c>
      <c r="AQ80" s="54">
        <f>IF(AND(YEAR(AQ$4)&gt;YEAR($E80),$I80&gt;0),MIN($I80/$I$50,$I80-SUM($W80:AP80)),0)</f>
        <v>0</v>
      </c>
      <c r="AR80" s="54">
        <f>IF(AND(YEAR(AR$4)&gt;YEAR($E80),$I80&gt;0),MIN($I80/$I$50,$I80-SUM($W80:AQ80)),0)</f>
        <v>0</v>
      </c>
      <c r="AS80" s="54">
        <f>IF(AND(YEAR(AS$4)&gt;YEAR($E80),$I80&gt;0),MIN($I80/$I$50,$I80-SUM($W80:AR80)),0)</f>
        <v>0</v>
      </c>
      <c r="AT80" s="87">
        <f>IF(AND(YEAR(AT$4)&gt;YEAR($E80),$I80&gt;0),MIN($I80/$I$50,$I80-SUM($W80:AS80)),0)</f>
        <v>0</v>
      </c>
      <c r="AU80" s="143">
        <f>IF(AND(YEAR(AU$4)&gt;YEAR($E80),$I80&gt;0),MIN($I80/$I$50,$I80-SUM($W80:AT80)),0)</f>
        <v>0</v>
      </c>
      <c r="AV80" s="54">
        <f>IF(AND(YEAR(AV$4)&gt;YEAR($E80),$I80&gt;0),MIN($I80/$I$50,$I80-SUM($W80:AU80)),0)</f>
        <v>7.3060517713664055</v>
      </c>
      <c r="AW80" s="54">
        <f>IF(AND(YEAR(AW$4)&gt;YEAR($E80),$I80&gt;0),MIN($I80/$I$50,$I80-SUM($W80:AV80)),0)</f>
        <v>7.3060517713664055</v>
      </c>
      <c r="AX80" s="54">
        <f>IF(AND(YEAR(AX$4)&gt;YEAR($E80),$I80&gt;0),MIN($I80/$I$50,$I80-SUM($W80:AW80)),0)</f>
        <v>7.3060517713664055</v>
      </c>
      <c r="AY80" s="54">
        <f>IF(AND(YEAR(AY$4)&gt;YEAR($E80),$I80&gt;0),MIN($I80/$I$50,$I80-SUM($W80:AX80)),0)</f>
        <v>7.3060517713664055</v>
      </c>
      <c r="AZ80"/>
      <c r="BA80" s="44" t="str">
        <f t="shared" ca="1" si="5"/>
        <v>Calculations_SO</v>
      </c>
      <c r="BB80" s="1" t="str">
        <f t="shared" si="6"/>
        <v>Depreciation</v>
      </c>
      <c r="BC80" s="116" t="str">
        <f t="shared" si="7"/>
        <v>Straight line depreciation</v>
      </c>
    </row>
    <row r="81" spans="1:59" s="5" customFormat="1" ht="14.5">
      <c r="A81"/>
      <c r="B81" s="6"/>
      <c r="C81" s="6"/>
      <c r="D81" s="43"/>
      <c r="E81" s="109">
        <v>46843</v>
      </c>
      <c r="F81" s="43"/>
      <c r="G81" s="43" t="str">
        <f t="shared" si="4"/>
        <v>£m 23/24 prices</v>
      </c>
      <c r="H81" s="43"/>
      <c r="I81" s="43">
        <v>55.311270292895543</v>
      </c>
      <c r="J81" s="43" t="s">
        <v>10</v>
      </c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54">
        <f>IF(AND(YEAR(X$4)&gt;YEAR($E81),$I81&gt;0),MIN($I81/$I$50,$I81-SUM($W81:W81)),0)</f>
        <v>0</v>
      </c>
      <c r="Y81" s="54">
        <f>IF(AND(YEAR(Y$4)&gt;YEAR($E81),$I81&gt;0),MIN($I81/$I$50,$I81-SUM($W81:X81)),0)</f>
        <v>0</v>
      </c>
      <c r="Z81" s="54">
        <f>IF(AND(YEAR(Z$4)&gt;YEAR($E81),$I81&gt;0),MIN($I81/$I$50,$I81-SUM($W81:Y81)),0)</f>
        <v>0</v>
      </c>
      <c r="AA81" s="54">
        <f>IF(AND(YEAR(AA$4)&gt;YEAR($E81),$I81&gt;0),MIN($I81/$I$50,$I81-SUM($W81:Z81)),0)</f>
        <v>0</v>
      </c>
      <c r="AB81" s="54">
        <f>IF(AND(YEAR(AB$4)&gt;YEAR($E81),$I81&gt;0),MIN($I81/$I$50,$I81-SUM($W81:AA81)),0)</f>
        <v>0</v>
      </c>
      <c r="AC81" s="54">
        <f>IF(AND(YEAR(AC$4)&gt;YEAR($E81),$I81&gt;0),MIN($I81/$I$50,$I81-SUM($W81:AB81)),0)</f>
        <v>0</v>
      </c>
      <c r="AD81" s="54">
        <f>IF(AND(YEAR(AD$4)&gt;YEAR($E81),$I81&gt;0),MIN($I81/$I$50,$I81-SUM($W81:AC81)),0)</f>
        <v>0</v>
      </c>
      <c r="AE81" s="54">
        <f>IF(AND(YEAR(AE$4)&gt;YEAR($E81),$I81&gt;0),MIN($I81/$I$50,$I81-SUM($W81:AD81)),0)</f>
        <v>0</v>
      </c>
      <c r="AF81" s="54">
        <f>IF(AND(YEAR(AF$4)&gt;YEAR($E81),$I81&gt;0),MIN($I81/$I$50,$I81-SUM($W81:AE81)),0)</f>
        <v>0</v>
      </c>
      <c r="AG81" s="54">
        <f>IF(AND(YEAR(AG$4)&gt;YEAR($E81),$I81&gt;0),MIN($I81/$I$50,$I81-SUM($W81:AF81)),0)</f>
        <v>0</v>
      </c>
      <c r="AH81" s="54">
        <f>IF(AND(YEAR(AH$4)&gt;YEAR($E81),$I81&gt;0),MIN($I81/$I$50,$I81-SUM($W81:AG81)),0)</f>
        <v>0</v>
      </c>
      <c r="AI81" s="54">
        <f>IF(AND(YEAR(AI$4)&gt;YEAR($E81),$I81&gt;0),MIN($I81/$I$50,$I81-SUM($W81:AH81)),0)</f>
        <v>0</v>
      </c>
      <c r="AJ81" s="54">
        <f>IF(AND(YEAR(AJ$4)&gt;YEAR($E81),$I81&gt;0),MIN($I81/$I$50,$I81-SUM($W81:AI81)),0)</f>
        <v>0</v>
      </c>
      <c r="AK81" s="54">
        <f>IF(AND(YEAR(AK$4)&gt;YEAR($E81),$I81&gt;0),MIN($I81/$I$50,$I81-SUM($W81:AJ81)),0)</f>
        <v>0</v>
      </c>
      <c r="AL81" s="54">
        <f>IF(AND(YEAR(AL$4)&gt;YEAR($E81),$I81&gt;0),MIN($I81/$I$50,$I81-SUM($W81:AK81)),0)</f>
        <v>0</v>
      </c>
      <c r="AM81" s="54">
        <f>IF(AND(YEAR(AM$4)&gt;YEAR($E81),$I81&gt;0),MIN($I81/$I$50,$I81-SUM($W81:AL81)),0)</f>
        <v>0</v>
      </c>
      <c r="AN81" s="54">
        <f>IF(AND(YEAR(AN$4)&gt;YEAR($E81),$I81&gt;0),MIN($I81/$I$50,$I81-SUM($W81:AM81)),0)</f>
        <v>0</v>
      </c>
      <c r="AO81" s="54">
        <f>IF(AND(YEAR(AO$4)&gt;YEAR($E81),$I81&gt;0),MIN($I81/$I$50,$I81-SUM($W81:AN81)),0)</f>
        <v>0</v>
      </c>
      <c r="AP81" s="54">
        <f>IF(AND(YEAR(AP$4)&gt;YEAR($E81),$I81&gt;0),MIN($I81/$I$50,$I81-SUM($W81:AO81)),0)</f>
        <v>0</v>
      </c>
      <c r="AQ81" s="54">
        <f>IF(AND(YEAR(AQ$4)&gt;YEAR($E81),$I81&gt;0),MIN($I81/$I$50,$I81-SUM($W81:AP81)),0)</f>
        <v>0</v>
      </c>
      <c r="AR81" s="54">
        <f>IF(AND(YEAR(AR$4)&gt;YEAR($E81),$I81&gt;0),MIN($I81/$I$50,$I81-SUM($W81:AQ81)),0)</f>
        <v>0</v>
      </c>
      <c r="AS81" s="54">
        <f>IF(AND(YEAR(AS$4)&gt;YEAR($E81),$I81&gt;0),MIN($I81/$I$50,$I81-SUM($W81:AR81)),0)</f>
        <v>0</v>
      </c>
      <c r="AT81" s="87">
        <f>IF(AND(YEAR(AT$4)&gt;YEAR($E81),$I81&gt;0),MIN($I81/$I$50,$I81-SUM($W81:AS81)),0)</f>
        <v>0</v>
      </c>
      <c r="AU81" s="143">
        <f>IF(AND(YEAR(AU$4)&gt;YEAR($E81),$I81&gt;0),MIN($I81/$I$50,$I81-SUM($W81:AT81)),0)</f>
        <v>0</v>
      </c>
      <c r="AV81" s="54">
        <f>IF(AND(YEAR(AV$4)&gt;YEAR($E81),$I81&gt;0),MIN($I81/$I$50,$I81-SUM($W81:AU81)),0)</f>
        <v>0</v>
      </c>
      <c r="AW81" s="54">
        <f>IF(AND(YEAR(AW$4)&gt;YEAR($E81),$I81&gt;0),MIN($I81/$I$50,$I81-SUM($W81:AV81)),0)</f>
        <v>7.9016100418422202</v>
      </c>
      <c r="AX81" s="54">
        <f>IF(AND(YEAR(AX$4)&gt;YEAR($E81),$I81&gt;0),MIN($I81/$I$50,$I81-SUM($W81:AW81)),0)</f>
        <v>7.9016100418422202</v>
      </c>
      <c r="AY81" s="54">
        <f>IF(AND(YEAR(AY$4)&gt;YEAR($E81),$I81&gt;0),MIN($I81/$I$50,$I81-SUM($W81:AX81)),0)</f>
        <v>7.9016100418422202</v>
      </c>
      <c r="AZ81"/>
      <c r="BA81" s="44" t="str">
        <f t="shared" ca="1" si="5"/>
        <v>Calculations_SO</v>
      </c>
      <c r="BB81" s="1" t="str">
        <f t="shared" si="6"/>
        <v>Depreciation</v>
      </c>
      <c r="BC81" s="116" t="str">
        <f t="shared" si="7"/>
        <v>Straight line depreciation</v>
      </c>
    </row>
    <row r="82" spans="1:59" s="5" customFormat="1" ht="14.5">
      <c r="A82"/>
      <c r="B82" s="6"/>
      <c r="C82" s="6"/>
      <c r="D82" s="43"/>
      <c r="E82" s="109">
        <v>47208</v>
      </c>
      <c r="F82" s="43"/>
      <c r="G82" s="43" t="str">
        <f t="shared" si="4"/>
        <v>£m 23/24 prices</v>
      </c>
      <c r="H82" s="43"/>
      <c r="I82" s="43">
        <v>53.480067767009359</v>
      </c>
      <c r="J82" s="43" t="s">
        <v>10</v>
      </c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54">
        <f>IF(AND(YEAR(X$4)&gt;YEAR($E82),$I82&gt;0),MIN($I82/$I$50,$I82-SUM($W82:W82)),0)</f>
        <v>0</v>
      </c>
      <c r="Y82" s="54">
        <f>IF(AND(YEAR(Y$4)&gt;YEAR($E82),$I82&gt;0),MIN($I82/$I$50,$I82-SUM($W82:X82)),0)</f>
        <v>0</v>
      </c>
      <c r="Z82" s="54">
        <f>IF(AND(YEAR(Z$4)&gt;YEAR($E82),$I82&gt;0),MIN($I82/$I$50,$I82-SUM($W82:Y82)),0)</f>
        <v>0</v>
      </c>
      <c r="AA82" s="54">
        <f>IF(AND(YEAR(AA$4)&gt;YEAR($E82),$I82&gt;0),MIN($I82/$I$50,$I82-SUM($W82:Z82)),0)</f>
        <v>0</v>
      </c>
      <c r="AB82" s="54">
        <f>IF(AND(YEAR(AB$4)&gt;YEAR($E82),$I82&gt;0),MIN($I82/$I$50,$I82-SUM($W82:AA82)),0)</f>
        <v>0</v>
      </c>
      <c r="AC82" s="54">
        <f>IF(AND(YEAR(AC$4)&gt;YEAR($E82),$I82&gt;0),MIN($I82/$I$50,$I82-SUM($W82:AB82)),0)</f>
        <v>0</v>
      </c>
      <c r="AD82" s="54">
        <f>IF(AND(YEAR(AD$4)&gt;YEAR($E82),$I82&gt;0),MIN($I82/$I$50,$I82-SUM($W82:AC82)),0)</f>
        <v>0</v>
      </c>
      <c r="AE82" s="54">
        <f>IF(AND(YEAR(AE$4)&gt;YEAR($E82),$I82&gt;0),MIN($I82/$I$50,$I82-SUM($W82:AD82)),0)</f>
        <v>0</v>
      </c>
      <c r="AF82" s="54">
        <f>IF(AND(YEAR(AF$4)&gt;YEAR($E82),$I82&gt;0),MIN($I82/$I$50,$I82-SUM($W82:AE82)),0)</f>
        <v>0</v>
      </c>
      <c r="AG82" s="54">
        <f>IF(AND(YEAR(AG$4)&gt;YEAR($E82),$I82&gt;0),MIN($I82/$I$50,$I82-SUM($W82:AF82)),0)</f>
        <v>0</v>
      </c>
      <c r="AH82" s="54">
        <f>IF(AND(YEAR(AH$4)&gt;YEAR($E82),$I82&gt;0),MIN($I82/$I$50,$I82-SUM($W82:AG82)),0)</f>
        <v>0</v>
      </c>
      <c r="AI82" s="54">
        <f>IF(AND(YEAR(AI$4)&gt;YEAR($E82),$I82&gt;0),MIN($I82/$I$50,$I82-SUM($W82:AH82)),0)</f>
        <v>0</v>
      </c>
      <c r="AJ82" s="54">
        <f>IF(AND(YEAR(AJ$4)&gt;YEAR($E82),$I82&gt;0),MIN($I82/$I$50,$I82-SUM($W82:AI82)),0)</f>
        <v>0</v>
      </c>
      <c r="AK82" s="54">
        <f>IF(AND(YEAR(AK$4)&gt;YEAR($E82),$I82&gt;0),MIN($I82/$I$50,$I82-SUM($W82:AJ82)),0)</f>
        <v>0</v>
      </c>
      <c r="AL82" s="54">
        <f>IF(AND(YEAR(AL$4)&gt;YEAR($E82),$I82&gt;0),MIN($I82/$I$50,$I82-SUM($W82:AK82)),0)</f>
        <v>0</v>
      </c>
      <c r="AM82" s="54">
        <f>IF(AND(YEAR(AM$4)&gt;YEAR($E82),$I82&gt;0),MIN($I82/$I$50,$I82-SUM($W82:AL82)),0)</f>
        <v>0</v>
      </c>
      <c r="AN82" s="54">
        <f>IF(AND(YEAR(AN$4)&gt;YEAR($E82),$I82&gt;0),MIN($I82/$I$50,$I82-SUM($W82:AM82)),0)</f>
        <v>0</v>
      </c>
      <c r="AO82" s="54">
        <f>IF(AND(YEAR(AO$4)&gt;YEAR($E82),$I82&gt;0),MIN($I82/$I$50,$I82-SUM($W82:AN82)),0)</f>
        <v>0</v>
      </c>
      <c r="AP82" s="54">
        <f>IF(AND(YEAR(AP$4)&gt;YEAR($E82),$I82&gt;0),MIN($I82/$I$50,$I82-SUM($W82:AO82)),0)</f>
        <v>0</v>
      </c>
      <c r="AQ82" s="54">
        <f>IF(AND(YEAR(AQ$4)&gt;YEAR($E82),$I82&gt;0),MIN($I82/$I$50,$I82-SUM($W82:AP82)),0)</f>
        <v>0</v>
      </c>
      <c r="AR82" s="54">
        <f>IF(AND(YEAR(AR$4)&gt;YEAR($E82),$I82&gt;0),MIN($I82/$I$50,$I82-SUM($W82:AQ82)),0)</f>
        <v>0</v>
      </c>
      <c r="AS82" s="54">
        <f>IF(AND(YEAR(AS$4)&gt;YEAR($E82),$I82&gt;0),MIN($I82/$I$50,$I82-SUM($W82:AR82)),0)</f>
        <v>0</v>
      </c>
      <c r="AT82" s="87">
        <f>IF(AND(YEAR(AT$4)&gt;YEAR($E82),$I82&gt;0),MIN($I82/$I$50,$I82-SUM($W82:AS82)),0)</f>
        <v>0</v>
      </c>
      <c r="AU82" s="143">
        <f>IF(AND(YEAR(AU$4)&gt;YEAR($E82),$I82&gt;0),MIN($I82/$I$50,$I82-SUM($W82:AT82)),0)</f>
        <v>0</v>
      </c>
      <c r="AV82" s="54">
        <f>IF(AND(YEAR(AV$4)&gt;YEAR($E82),$I82&gt;0),MIN($I82/$I$50,$I82-SUM($W82:AU82)),0)</f>
        <v>0</v>
      </c>
      <c r="AW82" s="54">
        <f>IF(AND(YEAR(AW$4)&gt;YEAR($E82),$I82&gt;0),MIN($I82/$I$50,$I82-SUM($W82:AV82)),0)</f>
        <v>0</v>
      </c>
      <c r="AX82" s="54">
        <f>IF(AND(YEAR(AX$4)&gt;YEAR($E82),$I82&gt;0),MIN($I82/$I$50,$I82-SUM($W82:AW82)),0)</f>
        <v>7.6400096810013371</v>
      </c>
      <c r="AY82" s="54">
        <f>IF(AND(YEAR(AY$4)&gt;YEAR($E82),$I82&gt;0),MIN($I82/$I$50,$I82-SUM($W82:AX82)),0)</f>
        <v>7.6400096810013371</v>
      </c>
      <c r="AZ82"/>
      <c r="BA82" s="44" t="str">
        <f t="shared" ca="1" si="5"/>
        <v>Calculations_SO</v>
      </c>
      <c r="BB82" s="1" t="str">
        <f t="shared" si="6"/>
        <v>Depreciation</v>
      </c>
      <c r="BC82" s="116" t="str">
        <f t="shared" si="7"/>
        <v>Straight line depreciation</v>
      </c>
    </row>
    <row r="83" spans="1:59" s="5" customFormat="1" ht="14.5">
      <c r="A83"/>
      <c r="B83" s="6"/>
      <c r="C83" s="6"/>
      <c r="D83" s="43"/>
      <c r="E83" s="109">
        <v>47573</v>
      </c>
      <c r="F83" s="43"/>
      <c r="G83" s="43" t="str">
        <f t="shared" si="4"/>
        <v>£m 23/24 prices</v>
      </c>
      <c r="H83" s="43"/>
      <c r="I83" s="43">
        <v>48.417998184535918</v>
      </c>
      <c r="J83" s="43" t="s">
        <v>10</v>
      </c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54">
        <f>IF(AND(YEAR(X$4)&gt;YEAR($E83),$I83&gt;0),MIN($I83/$I$50,$I83-SUM($W83:W83)),0)</f>
        <v>0</v>
      </c>
      <c r="Y83" s="54">
        <f>IF(AND(YEAR(Y$4)&gt;YEAR($E83),$I83&gt;0),MIN($I83/$I$50,$I83-SUM($W83:X83)),0)</f>
        <v>0</v>
      </c>
      <c r="Z83" s="54">
        <f>IF(AND(YEAR(Z$4)&gt;YEAR($E83),$I83&gt;0),MIN($I83/$I$50,$I83-SUM($W83:Y83)),0)</f>
        <v>0</v>
      </c>
      <c r="AA83" s="54">
        <f>IF(AND(YEAR(AA$4)&gt;YEAR($E83),$I83&gt;0),MIN($I83/$I$50,$I83-SUM($W83:Z83)),0)</f>
        <v>0</v>
      </c>
      <c r="AB83" s="54">
        <f>IF(AND(YEAR(AB$4)&gt;YEAR($E83),$I83&gt;0),MIN($I83/$I$50,$I83-SUM($W83:AA83)),0)</f>
        <v>0</v>
      </c>
      <c r="AC83" s="54">
        <f>IF(AND(YEAR(AC$4)&gt;YEAR($E83),$I83&gt;0),MIN($I83/$I$50,$I83-SUM($W83:AB83)),0)</f>
        <v>0</v>
      </c>
      <c r="AD83" s="54">
        <f>IF(AND(YEAR(AD$4)&gt;YEAR($E83),$I83&gt;0),MIN($I83/$I$50,$I83-SUM($W83:AC83)),0)</f>
        <v>0</v>
      </c>
      <c r="AE83" s="54">
        <f>IF(AND(YEAR(AE$4)&gt;YEAR($E83),$I83&gt;0),MIN($I83/$I$50,$I83-SUM($W83:AD83)),0)</f>
        <v>0</v>
      </c>
      <c r="AF83" s="54">
        <f>IF(AND(YEAR(AF$4)&gt;YEAR($E83),$I83&gt;0),MIN($I83/$I$50,$I83-SUM($W83:AE83)),0)</f>
        <v>0</v>
      </c>
      <c r="AG83" s="54">
        <f>IF(AND(YEAR(AG$4)&gt;YEAR($E83),$I83&gt;0),MIN($I83/$I$50,$I83-SUM($W83:AF83)),0)</f>
        <v>0</v>
      </c>
      <c r="AH83" s="54">
        <f>IF(AND(YEAR(AH$4)&gt;YEAR($E83),$I83&gt;0),MIN($I83/$I$50,$I83-SUM($W83:AG83)),0)</f>
        <v>0</v>
      </c>
      <c r="AI83" s="54">
        <f>IF(AND(YEAR(AI$4)&gt;YEAR($E83),$I83&gt;0),MIN($I83/$I$50,$I83-SUM($W83:AH83)),0)</f>
        <v>0</v>
      </c>
      <c r="AJ83" s="54">
        <f>IF(AND(YEAR(AJ$4)&gt;YEAR($E83),$I83&gt;0),MIN($I83/$I$50,$I83-SUM($W83:AI83)),0)</f>
        <v>0</v>
      </c>
      <c r="AK83" s="54">
        <f>IF(AND(YEAR(AK$4)&gt;YEAR($E83),$I83&gt;0),MIN($I83/$I$50,$I83-SUM($W83:AJ83)),0)</f>
        <v>0</v>
      </c>
      <c r="AL83" s="54">
        <f>IF(AND(YEAR(AL$4)&gt;YEAR($E83),$I83&gt;0),MIN($I83/$I$50,$I83-SUM($W83:AK83)),0)</f>
        <v>0</v>
      </c>
      <c r="AM83" s="54">
        <f>IF(AND(YEAR(AM$4)&gt;YEAR($E83),$I83&gt;0),MIN($I83/$I$50,$I83-SUM($W83:AL83)),0)</f>
        <v>0</v>
      </c>
      <c r="AN83" s="54">
        <f>IF(AND(YEAR(AN$4)&gt;YEAR($E83),$I83&gt;0),MIN($I83/$I$50,$I83-SUM($W83:AM83)),0)</f>
        <v>0</v>
      </c>
      <c r="AO83" s="54">
        <f>IF(AND(YEAR(AO$4)&gt;YEAR($E83),$I83&gt;0),MIN($I83/$I$50,$I83-SUM($W83:AN83)),0)</f>
        <v>0</v>
      </c>
      <c r="AP83" s="54">
        <f>IF(AND(YEAR(AP$4)&gt;YEAR($E83),$I83&gt;0),MIN($I83/$I$50,$I83-SUM($W83:AO83)),0)</f>
        <v>0</v>
      </c>
      <c r="AQ83" s="54">
        <f>IF(AND(YEAR(AQ$4)&gt;YEAR($E83),$I83&gt;0),MIN($I83/$I$50,$I83-SUM($W83:AP83)),0)</f>
        <v>0</v>
      </c>
      <c r="AR83" s="54">
        <f>IF(AND(YEAR(AR$4)&gt;YEAR($E83),$I83&gt;0),MIN($I83/$I$50,$I83-SUM($W83:AQ83)),0)</f>
        <v>0</v>
      </c>
      <c r="AS83" s="54">
        <f>IF(AND(YEAR(AS$4)&gt;YEAR($E83),$I83&gt;0),MIN($I83/$I$50,$I83-SUM($W83:AR83)),0)</f>
        <v>0</v>
      </c>
      <c r="AT83" s="87">
        <f>IF(AND(YEAR(AT$4)&gt;YEAR($E83),$I83&gt;0),MIN($I83/$I$50,$I83-SUM($W83:AS83)),0)</f>
        <v>0</v>
      </c>
      <c r="AU83" s="143">
        <f>IF(AND(YEAR(AU$4)&gt;YEAR($E83),$I83&gt;0),MIN($I83/$I$50,$I83-SUM($W83:AT83)),0)</f>
        <v>0</v>
      </c>
      <c r="AV83" s="54">
        <f>IF(AND(YEAR(AV$4)&gt;YEAR($E83),$I83&gt;0),MIN($I83/$I$50,$I83-SUM($W83:AU83)),0)</f>
        <v>0</v>
      </c>
      <c r="AW83" s="54">
        <f>IF(AND(YEAR(AW$4)&gt;YEAR($E83),$I83&gt;0),MIN($I83/$I$50,$I83-SUM($W83:AV83)),0)</f>
        <v>0</v>
      </c>
      <c r="AX83" s="54">
        <f>IF(AND(YEAR(AX$4)&gt;YEAR($E83),$I83&gt;0),MIN($I83/$I$50,$I83-SUM($W83:AW83)),0)</f>
        <v>0</v>
      </c>
      <c r="AY83" s="54">
        <f>IF(AND(YEAR(AY$4)&gt;YEAR($E83),$I83&gt;0),MIN($I83/$I$50,$I83-SUM($W83:AX83)),0)</f>
        <v>6.9168568835051314</v>
      </c>
      <c r="AZ83"/>
      <c r="BA83" s="44" t="str">
        <f t="shared" ca="1" si="5"/>
        <v>Calculations_SO</v>
      </c>
      <c r="BB83" s="1" t="str">
        <f t="shared" si="6"/>
        <v>Depreciation</v>
      </c>
      <c r="BC83" s="116" t="str">
        <f t="shared" si="7"/>
        <v>Straight line depreciation</v>
      </c>
    </row>
    <row r="84" spans="1:59" s="5" customFormat="1" ht="14.5">
      <c r="A84"/>
      <c r="B84" s="6"/>
      <c r="C84" s="6"/>
      <c r="D84" s="43"/>
      <c r="E84" s="109">
        <v>47938</v>
      </c>
      <c r="F84" s="43"/>
      <c r="G84" s="43" t="str">
        <f t="shared" si="4"/>
        <v>£m 23/24 prices</v>
      </c>
      <c r="H84" s="43"/>
      <c r="I84" s="43">
        <v>43.870627158518452</v>
      </c>
      <c r="J84" s="43" t="s">
        <v>10</v>
      </c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54">
        <f>IF(AND(YEAR(X$4)&gt;YEAR($E84),$I84&gt;0),MIN($I84/$I$50,$I84-SUM($W84:W84)),0)</f>
        <v>0</v>
      </c>
      <c r="Y84" s="54">
        <f>IF(AND(YEAR(Y$4)&gt;YEAR($E84),$I84&gt;0),MIN($I84/$I$50,$I84-SUM($W84:X84)),0)</f>
        <v>0</v>
      </c>
      <c r="Z84" s="54">
        <f>IF(AND(YEAR(Z$4)&gt;YEAR($E84),$I84&gt;0),MIN($I84/$I$50,$I84-SUM($W84:Y84)),0)</f>
        <v>0</v>
      </c>
      <c r="AA84" s="54">
        <f>IF(AND(YEAR(AA$4)&gt;YEAR($E84),$I84&gt;0),MIN($I84/$I$50,$I84-SUM($W84:Z84)),0)</f>
        <v>0</v>
      </c>
      <c r="AB84" s="54">
        <f>IF(AND(YEAR(AB$4)&gt;YEAR($E84),$I84&gt;0),MIN($I84/$I$50,$I84-SUM($W84:AA84)),0)</f>
        <v>0</v>
      </c>
      <c r="AC84" s="54">
        <f>IF(AND(YEAR(AC$4)&gt;YEAR($E84),$I84&gt;0),MIN($I84/$I$50,$I84-SUM($W84:AB84)),0)</f>
        <v>0</v>
      </c>
      <c r="AD84" s="54">
        <f>IF(AND(YEAR(AD$4)&gt;YEAR($E84),$I84&gt;0),MIN($I84/$I$50,$I84-SUM($W84:AC84)),0)</f>
        <v>0</v>
      </c>
      <c r="AE84" s="54">
        <f>IF(AND(YEAR(AE$4)&gt;YEAR($E84),$I84&gt;0),MIN($I84/$I$50,$I84-SUM($W84:AD84)),0)</f>
        <v>0</v>
      </c>
      <c r="AF84" s="54">
        <f>IF(AND(YEAR(AF$4)&gt;YEAR($E84),$I84&gt;0),MIN($I84/$I$50,$I84-SUM($W84:AE84)),0)</f>
        <v>0</v>
      </c>
      <c r="AG84" s="54">
        <f>IF(AND(YEAR(AG$4)&gt;YEAR($E84),$I84&gt;0),MIN($I84/$I$50,$I84-SUM($W84:AF84)),0)</f>
        <v>0</v>
      </c>
      <c r="AH84" s="54">
        <f>IF(AND(YEAR(AH$4)&gt;YEAR($E84),$I84&gt;0),MIN($I84/$I$50,$I84-SUM($W84:AG84)),0)</f>
        <v>0</v>
      </c>
      <c r="AI84" s="54">
        <f>IF(AND(YEAR(AI$4)&gt;YEAR($E84),$I84&gt;0),MIN($I84/$I$50,$I84-SUM($W84:AH84)),0)</f>
        <v>0</v>
      </c>
      <c r="AJ84" s="54">
        <f>IF(AND(YEAR(AJ$4)&gt;YEAR($E84),$I84&gt;0),MIN($I84/$I$50,$I84-SUM($W84:AI84)),0)</f>
        <v>0</v>
      </c>
      <c r="AK84" s="54">
        <f>IF(AND(YEAR(AK$4)&gt;YEAR($E84),$I84&gt;0),MIN($I84/$I$50,$I84-SUM($W84:AJ84)),0)</f>
        <v>0</v>
      </c>
      <c r="AL84" s="54">
        <f>IF(AND(YEAR(AL$4)&gt;YEAR($E84),$I84&gt;0),MIN($I84/$I$50,$I84-SUM($W84:AK84)),0)</f>
        <v>0</v>
      </c>
      <c r="AM84" s="54">
        <f>IF(AND(YEAR(AM$4)&gt;YEAR($E84),$I84&gt;0),MIN($I84/$I$50,$I84-SUM($W84:AL84)),0)</f>
        <v>0</v>
      </c>
      <c r="AN84" s="54">
        <f>IF(AND(YEAR(AN$4)&gt;YEAR($E84),$I84&gt;0),MIN($I84/$I$50,$I84-SUM($W84:AM84)),0)</f>
        <v>0</v>
      </c>
      <c r="AO84" s="54">
        <f>IF(AND(YEAR(AO$4)&gt;YEAR($E84),$I84&gt;0),MIN($I84/$I$50,$I84-SUM($W84:AN84)),0)</f>
        <v>0</v>
      </c>
      <c r="AP84" s="54">
        <f>IF(AND(YEAR(AP$4)&gt;YEAR($E84),$I84&gt;0),MIN($I84/$I$50,$I84-SUM($W84:AO84)),0)</f>
        <v>0</v>
      </c>
      <c r="AQ84" s="54">
        <f>IF(AND(YEAR(AQ$4)&gt;YEAR($E84),$I84&gt;0),MIN($I84/$I$50,$I84-SUM($W84:AP84)),0)</f>
        <v>0</v>
      </c>
      <c r="AR84" s="54">
        <f>IF(AND(YEAR(AR$4)&gt;YEAR($E84),$I84&gt;0),MIN($I84/$I$50,$I84-SUM($W84:AQ84)),0)</f>
        <v>0</v>
      </c>
      <c r="AS84" s="54">
        <f>IF(AND(YEAR(AS$4)&gt;YEAR($E84),$I84&gt;0),MIN($I84/$I$50,$I84-SUM($W84:AR84)),0)</f>
        <v>0</v>
      </c>
      <c r="AT84" s="87">
        <f>IF(AND(YEAR(AT$4)&gt;YEAR($E84),$I84&gt;0),MIN($I84/$I$50,$I84-SUM($W84:AS84)),0)</f>
        <v>0</v>
      </c>
      <c r="AU84" s="143">
        <f>IF(AND(YEAR(AU$4)&gt;YEAR($E84),$I84&gt;0),MIN($I84/$I$50,$I84-SUM($W84:AT84)),0)</f>
        <v>0</v>
      </c>
      <c r="AV84" s="54">
        <f>IF(AND(YEAR(AV$4)&gt;YEAR($E84),$I84&gt;0),MIN($I84/$I$50,$I84-SUM($W84:AU84)),0)</f>
        <v>0</v>
      </c>
      <c r="AW84" s="54">
        <f>IF(AND(YEAR(AW$4)&gt;YEAR($E84),$I84&gt;0),MIN($I84/$I$50,$I84-SUM($W84:AV84)),0)</f>
        <v>0</v>
      </c>
      <c r="AX84" s="54">
        <f>IF(AND(YEAR(AX$4)&gt;YEAR($E84),$I84&gt;0),MIN($I84/$I$50,$I84-SUM($W84:AW84)),0)</f>
        <v>0</v>
      </c>
      <c r="AY84" s="54">
        <f>IF(AND(YEAR(AY$4)&gt;YEAR($E84),$I84&gt;0),MIN($I84/$I$50,$I84-SUM($W84:AX84)),0)</f>
        <v>0</v>
      </c>
      <c r="AZ84"/>
      <c r="BA84" s="44" t="str">
        <f t="shared" ca="1" si="5"/>
        <v>Calculations_SO</v>
      </c>
      <c r="BB84" s="1" t="str">
        <f t="shared" si="6"/>
        <v>Depreciation</v>
      </c>
      <c r="BC84" s="116" t="str">
        <f t="shared" si="7"/>
        <v>Straight line depreciation</v>
      </c>
    </row>
    <row r="85" spans="1:59" s="5" customFormat="1" ht="14.5">
      <c r="A85"/>
      <c r="B85" s="6"/>
      <c r="C85" s="6"/>
      <c r="D85" s="43"/>
      <c r="E85" s="43"/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43"/>
      <c r="AL85" s="43"/>
      <c r="AM85" s="43"/>
      <c r="AN85" s="43"/>
      <c r="AO85" s="43"/>
      <c r="AP85" s="43"/>
      <c r="AQ85" s="43"/>
      <c r="AR85" s="43"/>
      <c r="AS85" s="43"/>
      <c r="AT85" s="76"/>
      <c r="AU85" s="43"/>
      <c r="AV85" s="43"/>
      <c r="AW85" s="43"/>
      <c r="AX85" s="43"/>
      <c r="AY85" s="43"/>
      <c r="AZ85"/>
      <c r="BA85" s="44"/>
      <c r="BB85" s="44"/>
      <c r="BC85" s="44"/>
    </row>
    <row r="86" spans="1:59" s="5" customFormat="1" ht="14.5">
      <c r="A86"/>
      <c r="B86" s="6"/>
      <c r="C86" s="6"/>
      <c r="D86" s="43"/>
      <c r="E86" s="43" t="s">
        <v>430</v>
      </c>
      <c r="F86" s="43"/>
      <c r="G86" s="43" t="str">
        <f>price_label</f>
        <v>£m 23/24 prices</v>
      </c>
      <c r="H86" s="43"/>
      <c r="I86" s="43"/>
      <c r="J86" s="43" t="s">
        <v>10</v>
      </c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54">
        <f t="shared" ref="X86:AY86" si="8">SUM(X57:X84)</f>
        <v>0</v>
      </c>
      <c r="Y86" s="54">
        <f t="shared" si="8"/>
        <v>0</v>
      </c>
      <c r="Z86" s="54">
        <f t="shared" si="8"/>
        <v>0</v>
      </c>
      <c r="AA86" s="54">
        <f t="shared" si="8"/>
        <v>0</v>
      </c>
      <c r="AB86" s="54">
        <f t="shared" si="8"/>
        <v>0</v>
      </c>
      <c r="AC86" s="54">
        <f t="shared" si="8"/>
        <v>2.5655457987784454</v>
      </c>
      <c r="AD86" s="54">
        <f t="shared" si="8"/>
        <v>4.3425356024083266</v>
      </c>
      <c r="AE86" s="54">
        <f t="shared" si="8"/>
        <v>6.7085329261538575</v>
      </c>
      <c r="AF86" s="54">
        <f t="shared" si="8"/>
        <v>8.8587220740242714</v>
      </c>
      <c r="AG86" s="54">
        <f t="shared" si="8"/>
        <v>11.562227502922617</v>
      </c>
      <c r="AH86" s="54">
        <f t="shared" si="8"/>
        <v>17.243943887141519</v>
      </c>
      <c r="AI86" s="54">
        <f t="shared" si="8"/>
        <v>23.224349824251266</v>
      </c>
      <c r="AJ86" s="54">
        <f t="shared" si="8"/>
        <v>27.29472266236537</v>
      </c>
      <c r="AK86" s="54">
        <f t="shared" si="8"/>
        <v>32.602568810020472</v>
      </c>
      <c r="AL86" s="54">
        <f t="shared" si="8"/>
        <v>36.972372275430004</v>
      </c>
      <c r="AM86" s="54">
        <f t="shared" si="8"/>
        <v>41.03702806299858</v>
      </c>
      <c r="AN86" s="54">
        <f t="shared" si="8"/>
        <v>45.018083029377337</v>
      </c>
      <c r="AO86" s="54">
        <f t="shared" si="8"/>
        <v>46.231103796410054</v>
      </c>
      <c r="AP86" s="54">
        <f t="shared" si="8"/>
        <v>46.734491076121074</v>
      </c>
      <c r="AQ86" s="54">
        <f t="shared" si="8"/>
        <v>44.892363660641109</v>
      </c>
      <c r="AR86" s="54">
        <f t="shared" si="8"/>
        <v>42.391727438271026</v>
      </c>
      <c r="AS86" s="54">
        <f t="shared" si="8"/>
        <v>41.092722495240686</v>
      </c>
      <c r="AT86" s="87">
        <f t="shared" si="8"/>
        <v>40.570326359142008</v>
      </c>
      <c r="AU86" s="143">
        <f t="shared" si="8"/>
        <v>40.302648879918429</v>
      </c>
      <c r="AV86" s="54">
        <f t="shared" si="8"/>
        <v>40.713963500033216</v>
      </c>
      <c r="AW86" s="54">
        <f t="shared" si="8"/>
        <v>42.131780325054677</v>
      </c>
      <c r="AX86" s="54">
        <f t="shared" si="8"/>
        <v>44.977998784643432</v>
      </c>
      <c r="AY86" s="54">
        <f t="shared" si="8"/>
        <v>47.310655939233662</v>
      </c>
      <c r="AZ86"/>
      <c r="BA86" s="44" t="str">
        <f t="shared" ca="1" si="5"/>
        <v>Calculations_SO</v>
      </c>
      <c r="BB86" s="1" t="str">
        <f t="shared" ref="BB86" si="9">$A$44</f>
        <v>Depreciation</v>
      </c>
      <c r="BC86" s="116" t="str">
        <f t="shared" ref="BC86" si="10">$B$56</f>
        <v>Straight line depreciation</v>
      </c>
    </row>
    <row r="87" spans="1:59">
      <c r="BA87" s="44"/>
    </row>
    <row r="88" spans="1:59" ht="20" thickBot="1">
      <c r="A88" s="15" t="s">
        <v>309</v>
      </c>
      <c r="BA88" s="44"/>
    </row>
    <row r="89" spans="1:59" ht="18" thickTop="1" thickBot="1">
      <c r="B89" s="17" t="s">
        <v>400</v>
      </c>
      <c r="BA89" s="44"/>
    </row>
    <row r="90" spans="1:59" ht="15" outlineLevel="1" thickTop="1">
      <c r="D90" s="1" t="s">
        <v>154</v>
      </c>
      <c r="E90" s="73" t="s">
        <v>430</v>
      </c>
      <c r="G90" t="str">
        <f>price_label</f>
        <v>£m 23/24 prices</v>
      </c>
      <c r="AU90" s="95">
        <f>AU86</f>
        <v>40.302648879918429</v>
      </c>
      <c r="AV90" s="69">
        <f t="shared" ref="AV90:AY90" si="11">AV86</f>
        <v>40.713963500033216</v>
      </c>
      <c r="AW90" s="69">
        <f t="shared" si="11"/>
        <v>42.131780325054677</v>
      </c>
      <c r="AX90" s="69">
        <f t="shared" si="11"/>
        <v>44.977998784643432</v>
      </c>
      <c r="AY90" s="69">
        <f t="shared" si="11"/>
        <v>47.310655939233662</v>
      </c>
      <c r="BA90"/>
      <c r="BB90"/>
      <c r="BC90"/>
      <c r="BD90"/>
      <c r="BF90"/>
      <c r="BG90"/>
    </row>
    <row r="91" spans="1:59" ht="14.5" outlineLevel="1">
      <c r="D91" s="1" t="str" cm="1">
        <f t="array" aca="1" ref="D91" ca="1">IFERROR(MID(_xlfn.FORMULATEXT(I91),FIND("=",_xlfn.FORMULATEXT(I91))+1,FIND("!",_xlfn.FORMULATEXT(I91))-2),MID(_xlfn.FORMULATEXT(INDEX(L91:AV91,MATCH(FALSE,ISBLANK(L91:AV91),0))),FIND("=",_xlfn.FORMULATEXT(INDEX(L91:AV91,MATCH(FALSE,ISBLANK(L91:AV91),0))))+1,FIND("!",_xlfn.FORMULATEXT(INDEX(L91:AV91,MATCH(FALSE,ISBLANK(L91:AV91),0))))-2))</f>
        <v>Transform_TO</v>
      </c>
      <c r="E91" s="73" t="s">
        <v>524</v>
      </c>
      <c r="G91" t="s">
        <v>21</v>
      </c>
      <c r="AU91" s="101">
        <f>Transform_TO!AU209</f>
        <v>1.0903812147866101</v>
      </c>
      <c r="AV91" s="71">
        <f>Transform_TO!AV209</f>
        <v>1.1038900921236532</v>
      </c>
      <c r="AW91" s="71">
        <f>Transform_TO!AW209</f>
        <v>1.117474709683749</v>
      </c>
      <c r="AX91" s="71">
        <f>Transform_TO!AX209</f>
        <v>1.1311303901017495</v>
      </c>
      <c r="AY91" s="71">
        <f>Transform_TO!AY209</f>
        <v>1.1451152758990213</v>
      </c>
      <c r="BA91"/>
      <c r="BB91"/>
      <c r="BC91"/>
      <c r="BD91"/>
      <c r="BF91"/>
      <c r="BG91"/>
    </row>
    <row r="92" spans="1:59" outlineLevel="1">
      <c r="D92" s="1" t="str" cm="1">
        <f t="array" aca="1" ref="D92" ca="1">IFERROR(MID(_xlfn.FORMULATEXT(I92),FIND("=",_xlfn.FORMULATEXT(I92))+1,FIND("!",_xlfn.FORMULATEXT(I92))-2),MID(_xlfn.FORMULATEXT(INDEX(L92:AV92,MATCH(FALSE,ISBLANK(L92:AV92),0))),FIND("=",_xlfn.FORMULATEXT(INDEX(L92:AV92,MATCH(FALSE,ISBLANK(L92:AV92),0))))+1,FIND("!",_xlfn.FORMULATEXT(INDEX(L92:AV92,MATCH(FALSE,ISBLANK(L92:AV92),0))))-2))</f>
        <v>Transform_SO</v>
      </c>
      <c r="E92" t="s">
        <v>1149</v>
      </c>
      <c r="G92" t="str">
        <f>Transform_SO!G29</f>
        <v>£m 23/24 prices</v>
      </c>
      <c r="J92" s="43" t="s">
        <v>10</v>
      </c>
      <c r="AT92" s="146">
        <f>Transform_SO!AT29</f>
        <v>158.8373486038308</v>
      </c>
      <c r="AZ92" s="130"/>
      <c r="BA92" s="44"/>
    </row>
    <row r="93" spans="1:59" outlineLevel="1">
      <c r="D93" s="1" t="str" cm="1">
        <f t="array" aca="1" ref="D93" ca="1">IFERROR(MID(_xlfn.FORMULATEXT(I93),FIND("=",_xlfn.FORMULATEXT(I93))+1,FIND("!",_xlfn.FORMULATEXT(I93))-2),MID(_xlfn.FORMULATEXT(INDEX(L93:AV93,MATCH(FALSE,ISBLANK(L93:AV93),0))),FIND("=",_xlfn.FORMULATEXT(INDEX(L93:AV93,MATCH(FALSE,ISBLANK(L93:AV93),0))))+1,FIND("!",_xlfn.FORMULATEXT(INDEX(L93:AV93,MATCH(FALSE,ISBLANK(L93:AV93),0))))-2))</f>
        <v>Transform_TO</v>
      </c>
      <c r="E93" t="s">
        <v>391</v>
      </c>
      <c r="G93" t="s">
        <v>21</v>
      </c>
      <c r="J93" t="s">
        <v>10</v>
      </c>
      <c r="AT93" s="103">
        <f>Transform_TO!AT170</f>
        <v>1.0832096821058097</v>
      </c>
      <c r="AU93" s="101">
        <f>Transform_TO!AU170</f>
        <v>1.0955743936244313</v>
      </c>
      <c r="AV93" s="71">
        <f>Transform_TO!AV170</f>
        <v>1.1189764907239503</v>
      </c>
      <c r="AW93" s="71">
        <f>Transform_TO!AW170</f>
        <v>1.1427183403407986</v>
      </c>
      <c r="AX93" s="71">
        <f>Transform_TO!AX170</f>
        <v>1.1667944795393224</v>
      </c>
      <c r="AY93" s="71">
        <f>Transform_TO!AY170</f>
        <v>1.191666589299726</v>
      </c>
      <c r="BA93" s="44"/>
      <c r="BB93"/>
      <c r="BC93"/>
    </row>
    <row r="94" spans="1:59" outlineLevel="1">
      <c r="D94" s="1" t="str" cm="1">
        <f t="array" aca="1" ref="D94" ca="1">IFERROR(MID(_xlfn.FORMULATEXT(I94),FIND("=",_xlfn.FORMULATEXT(I94))+1,FIND("!",_xlfn.FORMULATEXT(I94))-2),MID(_xlfn.FORMULATEXT(INDEX(L94:AV94,MATCH(FALSE,ISBLANK(L94:AV94),0))),FIND("=",_xlfn.FORMULATEXT(INDEX(L94:AV94,MATCH(FALSE,ISBLANK(L94:AV94),0))))+1,FIND("!",_xlfn.FORMULATEXT(INDEX(L94:AV94,MATCH(FALSE,ISBLANK(L94:AV94),0))))-2))</f>
        <v>Transform_TO</v>
      </c>
      <c r="E94" t="s">
        <v>362</v>
      </c>
      <c r="G94" t="str">
        <f>Transform_TO!G210</f>
        <v>%</v>
      </c>
      <c r="AU94" s="99">
        <f>Transform_TO!AU210</f>
        <v>6.6206319969913004E-3</v>
      </c>
      <c r="AV94" s="70">
        <f>Transform_TO!AV210</f>
        <v>1.2389132492242123E-2</v>
      </c>
      <c r="AW94" s="70">
        <f>Transform_TO!AW210</f>
        <v>1.230613233783232E-2</v>
      </c>
      <c r="AX94" s="70">
        <f>Transform_TO!AX210</f>
        <v>1.2220124804314626E-2</v>
      </c>
      <c r="AY94" s="70">
        <f>Transform_TO!AY210</f>
        <v>1.2363637224894723E-2</v>
      </c>
      <c r="BA94" s="44"/>
    </row>
    <row r="95" spans="1:59" outlineLevel="1">
      <c r="D95" s="1" t="s">
        <v>60</v>
      </c>
      <c r="E95" t="s">
        <v>158</v>
      </c>
      <c r="G95" t="str">
        <f>G42</f>
        <v>£m 23/24 prices</v>
      </c>
      <c r="AU95" s="115">
        <f>AU42</f>
        <v>50.899940309677397</v>
      </c>
      <c r="AV95" s="69">
        <f>AV42</f>
        <v>54.565546072909896</v>
      </c>
      <c r="AW95" s="69">
        <f>AW42</f>
        <v>52.298647087420242</v>
      </c>
      <c r="AX95" s="69">
        <f>AX42</f>
        <v>46.938059902411631</v>
      </c>
      <c r="AY95" s="69">
        <f>AY42</f>
        <v>42.156863147444042</v>
      </c>
      <c r="BA95" s="44"/>
    </row>
    <row r="96" spans="1:59" outlineLevel="1">
      <c r="D96" s="1" t="str" cm="1">
        <f t="array" aca="1" ref="D96" ca="1">IFERROR(MID(_xlfn.FORMULATEXT(I96),FIND("=",_xlfn.FORMULATEXT(I96))+1,FIND("!",_xlfn.FORMULATEXT(I96))-2),MID(_xlfn.FORMULATEXT(INDEX(L96:AV96,MATCH(FALSE,ISBLANK(L96:AV96),0))),FIND("=",_xlfn.FORMULATEXT(INDEX(L96:AV96,MATCH(FALSE,ISBLANK(L96:AV96),0))))+1,FIND("!",_xlfn.FORMULATEXT(INDEX(L96:AV96,MATCH(FALSE,ISBLANK(L96:AV96),0))))-2))</f>
        <v>Transform_TO</v>
      </c>
      <c r="E96" t="s">
        <v>129</v>
      </c>
      <c r="G96" t="s">
        <v>523</v>
      </c>
      <c r="AU96" s="99">
        <f>Transform_TO!AU208</f>
        <v>5.1307412400000085E-2</v>
      </c>
      <c r="AV96" s="70">
        <f>Transform_TO!AV208</f>
        <v>5.1855463800000071E-2</v>
      </c>
      <c r="AW96" s="70">
        <f>Transform_TO!AW208</f>
        <v>5.23426206E-2</v>
      </c>
      <c r="AX96" s="70">
        <f>Transform_TO!AX208</f>
        <v>5.3012461200000013E-2</v>
      </c>
      <c r="AY96" s="70">
        <f>Transform_TO!AY208</f>
        <v>5.3804091000000054E-2</v>
      </c>
      <c r="BA96" s="44"/>
    </row>
    <row r="97" spans="2:56"/>
    <row r="98" spans="2:56" ht="17.5" thickBot="1">
      <c r="B98" s="17" t="s">
        <v>307</v>
      </c>
    </row>
    <row r="99" spans="2:56" ht="16.5" thickTop="1">
      <c r="E99" t="s">
        <v>154</v>
      </c>
      <c r="G99" t="str">
        <f>nominal</f>
        <v>£m nominal</v>
      </c>
      <c r="AU99" s="96">
        <f>AU90*AU91</f>
        <v>43.945251244803664</v>
      </c>
      <c r="AV99" s="61">
        <f t="shared" ref="AV99:AY99" si="12">AV90*AV91</f>
        <v>44.943740918770722</v>
      </c>
      <c r="AW99" s="61">
        <f t="shared" si="12"/>
        <v>47.081198987199961</v>
      </c>
      <c r="AX99" s="61">
        <f t="shared" si="12"/>
        <v>50.87598131126974</v>
      </c>
      <c r="AY99" s="61">
        <f t="shared" si="12"/>
        <v>54.176154828819222</v>
      </c>
      <c r="BA99" s="44" t="str">
        <f t="shared" ref="BA99:BA100" ca="1" si="13">$A$1</f>
        <v>Calculations_SO</v>
      </c>
      <c r="BB99" s="1" t="str">
        <f t="shared" ref="BB99:BB100" si="14">$A$88</f>
        <v>Return&amp;RAV</v>
      </c>
      <c r="BC99" s="1" t="str">
        <f>$B$98</f>
        <v>Depreciation summaries</v>
      </c>
    </row>
    <row r="100" spans="2:56">
      <c r="E100" t="s">
        <v>154</v>
      </c>
      <c r="G100" t="str">
        <f>price_label</f>
        <v>£m 23/24 prices</v>
      </c>
      <c r="AU100" s="96">
        <f>AU99/PCf</f>
        <v>40.111608577690369</v>
      </c>
      <c r="AV100" s="61">
        <f>AV99/PCf</f>
        <v>40.165044834582027</v>
      </c>
      <c r="AW100" s="61">
        <f>AW99/PCf</f>
        <v>41.201053072412144</v>
      </c>
      <c r="AX100" s="61">
        <f>AX99/PCf</f>
        <v>43.603207080099281</v>
      </c>
      <c r="AY100" s="61">
        <f>AY99/PCf</f>
        <v>45.462510500236007</v>
      </c>
      <c r="BA100" s="44" t="str">
        <f t="shared" ca="1" si="13"/>
        <v>Calculations_SO</v>
      </c>
      <c r="BB100" s="1" t="str">
        <f t="shared" si="14"/>
        <v>Return&amp;RAV</v>
      </c>
      <c r="BC100" s="1" t="str">
        <f>$B$98</f>
        <v>Depreciation summaries</v>
      </c>
    </row>
    <row r="101" spans="2:56"/>
    <row r="102" spans="2:56" ht="17.5" thickBot="1">
      <c r="B102" s="17" t="s">
        <v>150</v>
      </c>
      <c r="BA102" s="44"/>
    </row>
    <row r="103" spans="2:56" ht="17" thickTop="1" thickBot="1">
      <c r="C103" s="14" t="s">
        <v>103</v>
      </c>
      <c r="BA103" s="44"/>
    </row>
    <row r="104" spans="2:56">
      <c r="E104" t="s">
        <v>160</v>
      </c>
      <c r="G104" t="str">
        <f>nominal</f>
        <v>£m nominal</v>
      </c>
      <c r="AU104" s="96">
        <f>AT92*AT93*StartingBalance+AT109</f>
        <v>172.05415388768523</v>
      </c>
      <c r="AV104" s="61">
        <f>AU92*AU93*StartingBalance+AU109</f>
        <v>185.0126811196202</v>
      </c>
      <c r="AW104" s="61">
        <f>AV92*AV93*StartingBalance+AV109</f>
        <v>203.41865007908612</v>
      </c>
      <c r="AX104" s="61">
        <f>AW92*AW93*StartingBalance+AW109</f>
        <v>218.60337112154861</v>
      </c>
      <c r="AY104" s="61">
        <f>AX92*AX93*StartingBalance+AX109</f>
        <v>225.16581946244798</v>
      </c>
      <c r="BA104" s="44" t="str">
        <f t="shared" ref="BA104:BA128" ca="1" si="15">$A$1</f>
        <v>Calculations_SO</v>
      </c>
      <c r="BB104" s="1" t="str">
        <f t="shared" ref="BB104:BB109" si="16">$A$88</f>
        <v>Return&amp;RAV</v>
      </c>
      <c r="BC104" s="1" t="str">
        <f t="shared" ref="BC104:BC109" si="17">$B$102</f>
        <v>RAV</v>
      </c>
      <c r="BD104" s="1" t="str">
        <f t="shared" ref="BD104:BD109" si="18">$C$103</f>
        <v>Nominal</v>
      </c>
    </row>
    <row r="105" spans="2:56">
      <c r="E105" t="s">
        <v>526</v>
      </c>
      <c r="G105" t="str">
        <f t="shared" ref="G105:G109" si="19">nominal</f>
        <v>£m nominal</v>
      </c>
      <c r="AU105" s="96">
        <f>AU104*AU94</f>
        <v>1.139107236444074</v>
      </c>
      <c r="AV105" s="61">
        <f>AV104*AV94</f>
        <v>2.2921466191359174</v>
      </c>
      <c r="AW105" s="61">
        <f>AW104*AW94</f>
        <v>2.5032968278564387</v>
      </c>
      <c r="AX105" s="61">
        <f>AX104*AX94</f>
        <v>2.6713604777492317</v>
      </c>
      <c r="AY105" s="61">
        <f>AY104*AY94</f>
        <v>2.7838685072798466</v>
      </c>
      <c r="BA105" s="44" t="str">
        <f t="shared" ca="1" si="15"/>
        <v>Calculations_SO</v>
      </c>
      <c r="BB105" s="1" t="str">
        <f t="shared" si="16"/>
        <v>Return&amp;RAV</v>
      </c>
      <c r="BC105" s="1" t="str">
        <f t="shared" si="17"/>
        <v>RAV</v>
      </c>
      <c r="BD105" s="1" t="str">
        <f t="shared" si="18"/>
        <v>Nominal</v>
      </c>
    </row>
    <row r="106" spans="2:56">
      <c r="E106" t="s">
        <v>161</v>
      </c>
      <c r="G106" t="str">
        <f t="shared" si="19"/>
        <v>£m nominal</v>
      </c>
      <c r="AU106" s="96">
        <f t="shared" ref="AU106:AY106" si="20">SUM(AU104:AU105)</f>
        <v>173.19326112412929</v>
      </c>
      <c r="AV106" s="61">
        <f t="shared" si="20"/>
        <v>187.3048277387561</v>
      </c>
      <c r="AW106" s="61">
        <f t="shared" si="20"/>
        <v>205.92194690694257</v>
      </c>
      <c r="AX106" s="61">
        <f t="shared" si="20"/>
        <v>221.27473159929784</v>
      </c>
      <c r="AY106" s="61">
        <f t="shared" si="20"/>
        <v>227.94968796972782</v>
      </c>
      <c r="BA106" s="44" t="str">
        <f t="shared" ca="1" si="15"/>
        <v>Calculations_SO</v>
      </c>
      <c r="BB106" s="1" t="str">
        <f t="shared" si="16"/>
        <v>Return&amp;RAV</v>
      </c>
      <c r="BC106" s="1" t="str">
        <f t="shared" si="17"/>
        <v>RAV</v>
      </c>
      <c r="BD106" s="1" t="str">
        <f t="shared" si="18"/>
        <v>Nominal</v>
      </c>
    </row>
    <row r="107" spans="2:56">
      <c r="E107" t="s">
        <v>626</v>
      </c>
      <c r="G107" t="str">
        <f t="shared" si="19"/>
        <v>£m nominal</v>
      </c>
      <c r="AU107" s="97">
        <f t="shared" ref="AU107:AY107" si="21">AU115*PCf</f>
        <v>55.764671240294561</v>
      </c>
      <c r="AV107" s="38">
        <f t="shared" si="21"/>
        <v>61.057563259100746</v>
      </c>
      <c r="AW107" s="38">
        <f t="shared" si="21"/>
        <v>59.762623201806001</v>
      </c>
      <c r="AX107" s="38">
        <f t="shared" si="21"/>
        <v>54.767069174419916</v>
      </c>
      <c r="AY107" s="38">
        <f t="shared" si="21"/>
        <v>50.236925322489952</v>
      </c>
      <c r="BA107" s="44" t="str">
        <f t="shared" ca="1" si="15"/>
        <v>Calculations_SO</v>
      </c>
      <c r="BB107" s="1" t="str">
        <f t="shared" si="16"/>
        <v>Return&amp;RAV</v>
      </c>
      <c r="BC107" s="1" t="str">
        <f t="shared" si="17"/>
        <v>RAV</v>
      </c>
      <c r="BD107" s="1" t="str">
        <f t="shared" si="18"/>
        <v>Nominal</v>
      </c>
    </row>
    <row r="108" spans="2:56">
      <c r="E108" s="73" t="s">
        <v>154</v>
      </c>
      <c r="G108" t="str">
        <f t="shared" si="19"/>
        <v>£m nominal</v>
      </c>
      <c r="I108" s="3"/>
      <c r="AU108" s="97">
        <f>-AU99</f>
        <v>-43.945251244803664</v>
      </c>
      <c r="AV108" s="38">
        <f t="shared" ref="AV108:AY108" si="22">-AV99</f>
        <v>-44.943740918770722</v>
      </c>
      <c r="AW108" s="38">
        <f t="shared" si="22"/>
        <v>-47.081198987199961</v>
      </c>
      <c r="AX108" s="38">
        <f t="shared" si="22"/>
        <v>-50.87598131126974</v>
      </c>
      <c r="AY108" s="38">
        <f t="shared" si="22"/>
        <v>-54.176154828819222</v>
      </c>
      <c r="BA108" s="44" t="str">
        <f t="shared" ca="1" si="15"/>
        <v>Calculations_SO</v>
      </c>
      <c r="BB108" s="1" t="str">
        <f t="shared" si="16"/>
        <v>Return&amp;RAV</v>
      </c>
      <c r="BC108" s="1" t="str">
        <f t="shared" si="17"/>
        <v>RAV</v>
      </c>
      <c r="BD108" s="1" t="str">
        <f t="shared" si="18"/>
        <v>Nominal</v>
      </c>
    </row>
    <row r="109" spans="2:56">
      <c r="E109" t="s">
        <v>162</v>
      </c>
      <c r="G109" t="str">
        <f t="shared" si="19"/>
        <v>£m nominal</v>
      </c>
      <c r="AU109" s="96">
        <f t="shared" ref="AU109:AY109" si="23">SUM(AU106:AU108)</f>
        <v>185.0126811196202</v>
      </c>
      <c r="AV109" s="61">
        <f t="shared" si="23"/>
        <v>203.41865007908612</v>
      </c>
      <c r="AW109" s="61">
        <f t="shared" si="23"/>
        <v>218.60337112154861</v>
      </c>
      <c r="AX109" s="61">
        <f t="shared" si="23"/>
        <v>225.16581946244798</v>
      </c>
      <c r="AY109" s="61">
        <f t="shared" si="23"/>
        <v>224.01045846339855</v>
      </c>
      <c r="BA109" s="44" t="str">
        <f t="shared" ca="1" si="15"/>
        <v>Calculations_SO</v>
      </c>
      <c r="BB109" s="1" t="str">
        <f t="shared" si="16"/>
        <v>Return&amp;RAV</v>
      </c>
      <c r="BC109" s="1" t="str">
        <f t="shared" si="17"/>
        <v>RAV</v>
      </c>
      <c r="BD109" s="1" t="str">
        <f t="shared" si="18"/>
        <v>Nominal</v>
      </c>
    </row>
    <row r="110" spans="2:56">
      <c r="AU110" s="3"/>
      <c r="AV110" s="3"/>
      <c r="AW110" s="3"/>
      <c r="AX110" s="3"/>
      <c r="AY110" s="3"/>
      <c r="BA110" s="44"/>
    </row>
    <row r="111" spans="2:56" ht="16.5" thickBot="1">
      <c r="C111" s="14" t="s">
        <v>163</v>
      </c>
      <c r="AU111" s="3"/>
      <c r="AV111" s="3"/>
      <c r="AW111" s="3"/>
      <c r="AX111" s="3"/>
      <c r="AY111" s="3"/>
      <c r="BA111" s="44"/>
    </row>
    <row r="112" spans="2:56">
      <c r="E112" t="s">
        <v>160</v>
      </c>
      <c r="G112" t="str">
        <f t="shared" ref="G112:G117" si="24">price_label</f>
        <v>£m 23/24 prices</v>
      </c>
      <c r="AU112" s="96">
        <f>AT92*StartingBalance+AT117</f>
        <v>158.8373486038308</v>
      </c>
      <c r="AV112" s="61">
        <f>AU92*StartingBalance+AU117</f>
        <v>168.87276865567517</v>
      </c>
      <c r="AW112" s="61">
        <f>AV92*StartingBalance+AV117</f>
        <v>181.78992299246539</v>
      </c>
      <c r="AX112" s="61">
        <f>AW92*StartingBalance+AW117</f>
        <v>191.30118368132031</v>
      </c>
      <c r="AY112" s="61">
        <f>AX92*StartingBalance+AX117</f>
        <v>192.97813231971128</v>
      </c>
      <c r="BA112" s="44" t="str">
        <f t="shared" ca="1" si="15"/>
        <v>Calculations_SO</v>
      </c>
      <c r="BB112" s="1" t="str">
        <f t="shared" ref="BB112:BB117" si="25">$A$88</f>
        <v>Return&amp;RAV</v>
      </c>
      <c r="BC112" s="1" t="str">
        <f t="shared" ref="BC112:BC117" si="26">$B$102</f>
        <v>RAV</v>
      </c>
      <c r="BD112" s="1" t="str">
        <f t="shared" ref="BD112:BD117" si="27">$C$111</f>
        <v>Real</v>
      </c>
    </row>
    <row r="113" spans="2:56">
      <c r="E113" t="s">
        <v>647</v>
      </c>
      <c r="G113" t="str">
        <f t="shared" si="24"/>
        <v>£m 23/24 prices</v>
      </c>
      <c r="AU113" s="96">
        <f t="shared" ref="AU113:AY113" si="28">((AU104+AU105)/PCf-AU112)*RIIO3</f>
        <v>-0.75291168014265963</v>
      </c>
      <c r="AV113" s="61">
        <f t="shared" si="28"/>
        <v>-1.4833469015376295</v>
      </c>
      <c r="AW113" s="61">
        <f t="shared" si="28"/>
        <v>-1.5863333261531807</v>
      </c>
      <c r="AX113" s="61">
        <f t="shared" si="28"/>
        <v>-1.6579041839213744</v>
      </c>
      <c r="AY113" s="61">
        <f t="shared" si="28"/>
        <v>-1.6916684576332557</v>
      </c>
      <c r="BA113" s="44" t="str">
        <f t="shared" ca="1" si="15"/>
        <v>Calculations_SO</v>
      </c>
      <c r="BB113" s="1" t="str">
        <f t="shared" si="25"/>
        <v>Return&amp;RAV</v>
      </c>
      <c r="BC113" s="1" t="str">
        <f t="shared" si="26"/>
        <v>RAV</v>
      </c>
      <c r="BD113" s="1" t="str">
        <f t="shared" si="27"/>
        <v>Real</v>
      </c>
    </row>
    <row r="114" spans="2:56">
      <c r="E114" t="s">
        <v>161</v>
      </c>
      <c r="G114" t="str">
        <f t="shared" si="24"/>
        <v>£m 23/24 prices</v>
      </c>
      <c r="AU114" s="96">
        <f t="shared" ref="AU114:AY114" si="29">SUM(AU112:AU113)</f>
        <v>158.08443692368814</v>
      </c>
      <c r="AV114" s="61">
        <f t="shared" si="29"/>
        <v>167.38942175413754</v>
      </c>
      <c r="AW114" s="61">
        <f t="shared" si="29"/>
        <v>180.20358966631221</v>
      </c>
      <c r="AX114" s="61">
        <f t="shared" si="29"/>
        <v>189.64327949739894</v>
      </c>
      <c r="AY114" s="61">
        <f t="shared" si="29"/>
        <v>191.28646386207802</v>
      </c>
      <c r="BA114" s="44" t="str">
        <f t="shared" ca="1" si="15"/>
        <v>Calculations_SO</v>
      </c>
      <c r="BB114" s="1" t="str">
        <f t="shared" si="25"/>
        <v>Return&amp;RAV</v>
      </c>
      <c r="BC114" s="1" t="str">
        <f t="shared" si="26"/>
        <v>RAV</v>
      </c>
      <c r="BD114" s="1" t="str">
        <f t="shared" si="27"/>
        <v>Real</v>
      </c>
    </row>
    <row r="115" spans="2:56">
      <c r="E115" t="s">
        <v>626</v>
      </c>
      <c r="G115" t="str">
        <f t="shared" si="24"/>
        <v>£m 23/24 prices</v>
      </c>
      <c r="AU115" s="97">
        <f>AU95</f>
        <v>50.899940309677397</v>
      </c>
      <c r="AV115" s="38">
        <f>AV95</f>
        <v>54.565546072909896</v>
      </c>
      <c r="AW115" s="38">
        <f>AW95</f>
        <v>52.298647087420242</v>
      </c>
      <c r="AX115" s="38">
        <f>AX95</f>
        <v>46.938059902411631</v>
      </c>
      <c r="AY115" s="38">
        <f>AY95</f>
        <v>42.156863147444042</v>
      </c>
      <c r="BA115" s="44" t="str">
        <f t="shared" ca="1" si="15"/>
        <v>Calculations_SO</v>
      </c>
      <c r="BB115" s="1" t="str">
        <f t="shared" si="25"/>
        <v>Return&amp;RAV</v>
      </c>
      <c r="BC115" s="1" t="str">
        <f t="shared" si="26"/>
        <v>RAV</v>
      </c>
      <c r="BD115" s="1" t="str">
        <f t="shared" si="27"/>
        <v>Real</v>
      </c>
    </row>
    <row r="116" spans="2:56">
      <c r="E116" s="73" t="s">
        <v>154</v>
      </c>
      <c r="G116" t="str">
        <f t="shared" si="24"/>
        <v>£m 23/24 prices</v>
      </c>
      <c r="AU116" s="97">
        <f>-AU100</f>
        <v>-40.111608577690369</v>
      </c>
      <c r="AV116" s="38">
        <f t="shared" ref="AV116:AY116" si="30">-AV100</f>
        <v>-40.165044834582027</v>
      </c>
      <c r="AW116" s="38">
        <f t="shared" si="30"/>
        <v>-41.201053072412144</v>
      </c>
      <c r="AX116" s="38">
        <f t="shared" si="30"/>
        <v>-43.603207080099281</v>
      </c>
      <c r="AY116" s="38">
        <f t="shared" si="30"/>
        <v>-45.462510500236007</v>
      </c>
      <c r="BA116" s="44" t="str">
        <f t="shared" ca="1" si="15"/>
        <v>Calculations_SO</v>
      </c>
      <c r="BB116" s="1" t="str">
        <f t="shared" si="25"/>
        <v>Return&amp;RAV</v>
      </c>
      <c r="BC116" s="1" t="str">
        <f t="shared" si="26"/>
        <v>RAV</v>
      </c>
      <c r="BD116" s="1" t="str">
        <f t="shared" si="27"/>
        <v>Real</v>
      </c>
    </row>
    <row r="117" spans="2:56">
      <c r="E117" t="s">
        <v>162</v>
      </c>
      <c r="G117" t="str">
        <f t="shared" si="24"/>
        <v>£m 23/24 prices</v>
      </c>
      <c r="AU117" s="96">
        <f t="shared" ref="AU117:AY117" si="31">SUM(AU114:AU116)</f>
        <v>168.87276865567517</v>
      </c>
      <c r="AV117" s="61">
        <f t="shared" si="31"/>
        <v>181.78992299246539</v>
      </c>
      <c r="AW117" s="61">
        <f t="shared" si="31"/>
        <v>191.30118368132031</v>
      </c>
      <c r="AX117" s="61">
        <f t="shared" si="31"/>
        <v>192.97813231971128</v>
      </c>
      <c r="AY117" s="61">
        <f t="shared" si="31"/>
        <v>187.98081650928606</v>
      </c>
      <c r="BA117" s="44" t="str">
        <f t="shared" ca="1" si="15"/>
        <v>Calculations_SO</v>
      </c>
      <c r="BB117" s="1" t="str">
        <f t="shared" si="25"/>
        <v>Return&amp;RAV</v>
      </c>
      <c r="BC117" s="1" t="str">
        <f t="shared" si="26"/>
        <v>RAV</v>
      </c>
      <c r="BD117" s="1" t="str">
        <f t="shared" si="27"/>
        <v>Real</v>
      </c>
    </row>
    <row r="118" spans="2:56">
      <c r="BA118" s="44"/>
    </row>
    <row r="119" spans="2:56" ht="17.5" thickBot="1">
      <c r="B119" s="17" t="s">
        <v>230</v>
      </c>
      <c r="BA119" s="44"/>
    </row>
    <row r="120" spans="2:56" ht="16.5" thickTop="1">
      <c r="E120" t="s">
        <v>165</v>
      </c>
      <c r="G120" t="s">
        <v>21</v>
      </c>
      <c r="AU120" s="106">
        <f>1/(1+AU96)</f>
        <v>0.95119656553845477</v>
      </c>
      <c r="AV120" s="63">
        <f>1/(1+AV96)</f>
        <v>0.95070096074543953</v>
      </c>
      <c r="AW120" s="63">
        <f>1/(1+AW96)</f>
        <v>0.95026085651633452</v>
      </c>
      <c r="AX120" s="63">
        <f>1/(1+AX96)</f>
        <v>0.94965637810250825</v>
      </c>
      <c r="AY120" s="63">
        <f>1/(1+AY96)</f>
        <v>0.94894298526688869</v>
      </c>
      <c r="BA120" s="44" t="str">
        <f t="shared" ca="1" si="15"/>
        <v>Calculations_SO</v>
      </c>
      <c r="BB120" s="1" t="str">
        <f>$A$88</f>
        <v>Return&amp;RAV</v>
      </c>
      <c r="BC120" s="1" t="str">
        <f>$B$119</f>
        <v>Return</v>
      </c>
    </row>
    <row r="121" spans="2:56">
      <c r="BA121" s="44"/>
    </row>
    <row r="122" spans="2:56">
      <c r="E122" t="s">
        <v>166</v>
      </c>
      <c r="G122" t="str">
        <f>nominal</f>
        <v>£m nominal</v>
      </c>
      <c r="AU122" s="96">
        <f>AU109*AU120</f>
        <v>175.98342686204404</v>
      </c>
      <c r="AV122" s="61">
        <f>AV109*AV120</f>
        <v>193.39030606372756</v>
      </c>
      <c r="AW122" s="61">
        <f>AW109*AW120</f>
        <v>207.73022667932094</v>
      </c>
      <c r="AX122" s="61">
        <f>AX109*AX120</f>
        <v>213.83015658319161</v>
      </c>
      <c r="AY122" s="61">
        <f>AY109*AY120</f>
        <v>212.57315318526179</v>
      </c>
      <c r="BA122" s="44" t="str">
        <f t="shared" ca="1" si="15"/>
        <v>Calculations_SO</v>
      </c>
      <c r="BB122" s="1" t="str">
        <f>$A$88</f>
        <v>Return&amp;RAV</v>
      </c>
      <c r="BC122" s="1" t="str">
        <f>$B$119</f>
        <v>Return</v>
      </c>
    </row>
    <row r="123" spans="2:56">
      <c r="BA123" s="44"/>
    </row>
    <row r="124" spans="2:56">
      <c r="E124" t="s">
        <v>167</v>
      </c>
      <c r="G124" t="str">
        <f>nominal</f>
        <v>£m nominal</v>
      </c>
      <c r="AU124" s="96">
        <f>AVERAGE(AU106,AU122)</f>
        <v>174.58834399308665</v>
      </c>
      <c r="AV124" s="61">
        <f>AVERAGE(AV106,AV122)</f>
        <v>190.34756690124183</v>
      </c>
      <c r="AW124" s="61">
        <f>AVERAGE(AW106,AW122)</f>
        <v>206.82608679313176</v>
      </c>
      <c r="AX124" s="61">
        <f>AVERAGE(AX106,AX122)</f>
        <v>217.55244409124472</v>
      </c>
      <c r="AY124" s="61">
        <f>AVERAGE(AY106,AY122)</f>
        <v>220.26142057749479</v>
      </c>
      <c r="BA124" s="44" t="str">
        <f t="shared" ca="1" si="15"/>
        <v>Calculations_SO</v>
      </c>
      <c r="BB124" s="1" t="str">
        <f>$A$88</f>
        <v>Return&amp;RAV</v>
      </c>
      <c r="BC124" s="1" t="str">
        <f>$B$119</f>
        <v>Return</v>
      </c>
    </row>
    <row r="125" spans="2:56">
      <c r="E125" t="s">
        <v>167</v>
      </c>
      <c r="G125" t="str">
        <f>price_label</f>
        <v>£m 23/24 prices</v>
      </c>
      <c r="AU125" s="96">
        <f>AU124/PCf</f>
        <v>159.35781724096816</v>
      </c>
      <c r="AV125" s="61">
        <f>AV124/PCf</f>
        <v>170.10863809845694</v>
      </c>
      <c r="AW125" s="61">
        <f>AW124/PCf</f>
        <v>180.99480816195617</v>
      </c>
      <c r="AX125" s="61">
        <f>AX124/PCf</f>
        <v>186.45309684456126</v>
      </c>
      <c r="AY125" s="61">
        <f>AY124/PCf</f>
        <v>184.83477052665359</v>
      </c>
      <c r="BA125" s="44" t="str">
        <f t="shared" ca="1" si="15"/>
        <v>Calculations_SO</v>
      </c>
      <c r="BB125" s="1" t="str">
        <f>$A$88</f>
        <v>Return&amp;RAV</v>
      </c>
      <c r="BC125" s="1" t="str">
        <f>$B$119</f>
        <v>Return</v>
      </c>
    </row>
    <row r="126" spans="2:56">
      <c r="BA126" s="44"/>
    </row>
    <row r="127" spans="2:56">
      <c r="E127" t="s">
        <v>230</v>
      </c>
      <c r="G127" t="str">
        <f>nominal</f>
        <v>£m nominal</v>
      </c>
      <c r="AU127" s="96">
        <f>AU96*AU124</f>
        <v>8.9576761654863741</v>
      </c>
      <c r="AV127" s="61">
        <f>AV96*AV124</f>
        <v>9.8705613648654378</v>
      </c>
      <c r="AW127" s="61">
        <f>AW96*AW124</f>
        <v>10.825819391195568</v>
      </c>
      <c r="AX127" s="61">
        <f>AX96*AX124</f>
        <v>11.532990501352282</v>
      </c>
      <c r="AY127" s="61">
        <f>AY96*AY124</f>
        <v>11.850965516540814</v>
      </c>
      <c r="BA127" s="44" t="str">
        <f t="shared" ca="1" si="15"/>
        <v>Calculations_SO</v>
      </c>
      <c r="BB127" s="1" t="str">
        <f>$A$88</f>
        <v>Return&amp;RAV</v>
      </c>
      <c r="BC127" s="1" t="str">
        <f>$B$119</f>
        <v>Return</v>
      </c>
    </row>
    <row r="128" spans="2:56">
      <c r="E128" t="s">
        <v>230</v>
      </c>
      <c r="G128" t="str">
        <f>price_label</f>
        <v>£m 23/24 prices</v>
      </c>
      <c r="AU128" s="96">
        <f>AU127/PCf</f>
        <v>8.1762372483461974</v>
      </c>
      <c r="AV128" s="61">
        <f>AV127/PCf</f>
        <v>8.8210623249818472</v>
      </c>
      <c r="AW128" s="61">
        <f>AW127/PCf</f>
        <v>9.4737425741910553</v>
      </c>
      <c r="AX128" s="61">
        <f>AX127/PCf</f>
        <v>9.8843375620921474</v>
      </c>
      <c r="AY128" s="61">
        <f>AY127/PCf</f>
        <v>9.9448668133801963</v>
      </c>
      <c r="BA128" s="44" t="str">
        <f t="shared" ca="1" si="15"/>
        <v>Calculations_SO</v>
      </c>
      <c r="BB128" s="1" t="str">
        <f>$A$88</f>
        <v>Return&amp;RAV</v>
      </c>
      <c r="BC128" s="1" t="str">
        <f>$B$119</f>
        <v>Return</v>
      </c>
    </row>
    <row r="129" spans="1:53">
      <c r="BA129" s="44"/>
    </row>
    <row r="130" spans="1:53" ht="20" thickBot="1">
      <c r="A130" s="15" t="s">
        <v>297</v>
      </c>
      <c r="BA130" s="44"/>
    </row>
    <row r="131" spans="1:53" ht="18" thickTop="1" thickBot="1">
      <c r="B131" s="17" t="s">
        <v>400</v>
      </c>
      <c r="AP131" s="1"/>
      <c r="AQ131" s="1"/>
      <c r="AR131" s="1"/>
      <c r="AS131" s="1"/>
      <c r="AT131" s="100"/>
      <c r="AU131" s="1"/>
      <c r="AV131" s="1"/>
      <c r="AW131" s="1"/>
      <c r="AX131" s="1"/>
      <c r="AY131" s="1"/>
      <c r="BA131" s="44"/>
    </row>
    <row r="132" spans="1:53" ht="16.5" outlineLevel="1" thickTop="1">
      <c r="D132" s="1" t="s">
        <v>147</v>
      </c>
      <c r="E132" t="s">
        <v>248</v>
      </c>
      <c r="G132" t="str">
        <f>price_label</f>
        <v>£m 23/24 prices</v>
      </c>
      <c r="AU132" s="95">
        <f t="shared" ref="AU132:AY133" si="32">AU25</f>
        <v>51.923372402155465</v>
      </c>
      <c r="AV132" s="69">
        <f t="shared" si="32"/>
        <v>61.572619925797028</v>
      </c>
      <c r="AW132" s="69">
        <f t="shared" si="32"/>
        <v>55.27477886559349</v>
      </c>
      <c r="AX132" s="69">
        <f t="shared" si="32"/>
        <v>42.11896976737728</v>
      </c>
      <c r="AY132" s="69">
        <f t="shared" si="32"/>
        <v>31.968538906866897</v>
      </c>
      <c r="AZ132" s="1"/>
      <c r="BA132" s="44"/>
    </row>
    <row r="133" spans="1:53" outlineLevel="1">
      <c r="D133" s="1" t="s">
        <v>147</v>
      </c>
      <c r="E133" t="s">
        <v>283</v>
      </c>
      <c r="G133" t="str">
        <f>price_label</f>
        <v>£m 23/24 prices</v>
      </c>
      <c r="AU133" s="95">
        <f t="shared" si="32"/>
        <v>78.589295058555791</v>
      </c>
      <c r="AV133" s="69">
        <f t="shared" si="32"/>
        <v>78.339036671407811</v>
      </c>
      <c r="AW133" s="69">
        <f t="shared" si="32"/>
        <v>78.824316230355848</v>
      </c>
      <c r="AX133" s="69">
        <f t="shared" si="32"/>
        <v>78.235029982396128</v>
      </c>
      <c r="AY133" s="69">
        <f t="shared" si="32"/>
        <v>76.125981984015255</v>
      </c>
      <c r="AZ133" s="1"/>
      <c r="BA133" s="44"/>
    </row>
    <row r="134" spans="1:53" outlineLevel="1">
      <c r="D134" s="1" t="str" cm="1">
        <f t="array" aca="1" ref="D134" ca="1">IFERROR(MID(_xlfn.FORMULATEXT(I134),FIND("=",_xlfn.FORMULATEXT(I134))+1,FIND("!",_xlfn.FORMULATEXT(I134))-2),MID(_xlfn.FORMULATEXT(INDEX(L134:AV134,MATCH(FALSE,ISBLANK(L134:AV134),0))),FIND("=",_xlfn.FORMULATEXT(INDEX(L134:AV134,MATCH(FALSE,ISBLANK(L134:AV134),0))))+1,FIND("!",_xlfn.FORMULATEXT(INDEX(L134:AV134,MATCH(FALSE,ISBLANK(L134:AV134),0))))-2))</f>
        <v>Transform_SO</v>
      </c>
      <c r="E134" t="s">
        <v>113</v>
      </c>
      <c r="G134" t="str">
        <f>price_label</f>
        <v>£m 23/24 prices</v>
      </c>
      <c r="AU134" s="95">
        <f>Transform_SO!AU35</f>
        <v>44.90024459987827</v>
      </c>
      <c r="AV134" s="69">
        <f>Transform_SO!AV35</f>
        <v>37.104573139953175</v>
      </c>
      <c r="AW134" s="69">
        <f>Transform_SO!AW35</f>
        <v>37.594328405198311</v>
      </c>
      <c r="AX134" s="69">
        <f>Transform_SO!AX35</f>
        <v>36.322007764802066</v>
      </c>
      <c r="AY134" s="69">
        <f>Transform_SO!AY35</f>
        <v>36.971631005375848</v>
      </c>
      <c r="BA134" s="44"/>
    </row>
    <row r="135" spans="1:53" outlineLevel="1">
      <c r="D135" s="1" t="str" cm="1">
        <f t="array" aca="1" ref="D135" ca="1">IFERROR(MID(_xlfn.FORMULATEXT(I135),FIND("=",_xlfn.FORMULATEXT(I135))+1,FIND("!",_xlfn.FORMULATEXT(I135))-2),MID(_xlfn.FORMULATEXT(INDEX(L135:AV135,MATCH(FALSE,ISBLANK(L135:AV135),0))),FIND("=",_xlfn.FORMULATEXT(INDEX(L135:AV135,MATCH(FALSE,ISBLANK(L135:AV135),0))))+1,FIND("!",_xlfn.FORMULATEXT(INDEX(L135:AV135,MATCH(FALSE,ISBLANK(L135:AV135),0))))-2))</f>
        <v>Transform_SO</v>
      </c>
      <c r="E135" t="s">
        <v>363</v>
      </c>
      <c r="G135" t="str">
        <f>price_label</f>
        <v>£m 23/24 prices</v>
      </c>
      <c r="AU135" s="95">
        <f>Transform_SO!AU64</f>
        <v>160.3777653541899</v>
      </c>
      <c r="AV135" s="69">
        <f>Transform_SO!AV64</f>
        <v>124.75564226802362</v>
      </c>
      <c r="AW135" s="69">
        <f>Transform_SO!AW64</f>
        <v>109.25716788069384</v>
      </c>
      <c r="AX135" s="69">
        <f>Transform_SO!AX64</f>
        <v>107.7564397914939</v>
      </c>
      <c r="AY135" s="69">
        <f>Transform_SO!AY64</f>
        <v>106.25242359432681</v>
      </c>
      <c r="BA135" s="44"/>
    </row>
    <row r="136" spans="1:53" outlineLevel="1"/>
    <row r="137" spans="1:53" outlineLevel="1">
      <c r="D137" s="1" t="str" cm="1">
        <f t="array" aca="1" ref="D137" ca="1">IFERROR(MID(_xlfn.FORMULATEXT(I137),FIND("=",_xlfn.FORMULATEXT(I137))+1,FIND("!",_xlfn.FORMULATEXT(I137))-2),MID(_xlfn.FORMULATEXT(INDEX(L137:AV137,MATCH(FALSE,ISBLANK(L137:AV137),0))),FIND("=",_xlfn.FORMULATEXT(INDEX(L137:AV137,MATCH(FALSE,ISBLANK(L137:AV137),0))))+1,FIND("!",_xlfn.FORMULATEXT(INDEX(L137:AV137,MATCH(FALSE,ISBLANK(L137:AV137),0))))-2))</f>
        <v>Transform_SO</v>
      </c>
      <c r="E137" t="s">
        <v>32</v>
      </c>
      <c r="G137" t="s">
        <v>33</v>
      </c>
      <c r="AU137" s="99">
        <f>Transform_SO!AU85</f>
        <v>0.39784163033665798</v>
      </c>
      <c r="AV137" s="70">
        <f>Transform_SO!AV85</f>
        <v>0.4400821305622874</v>
      </c>
      <c r="AW137" s="70">
        <f>Transform_SO!AW85</f>
        <v>0.41219352618333327</v>
      </c>
      <c r="AX137" s="70">
        <f>Transform_SO!AX85</f>
        <v>0.34995903630079878</v>
      </c>
      <c r="AY137" s="70">
        <f>Transform_SO!AY85</f>
        <v>0.29574615478557031</v>
      </c>
    </row>
    <row r="138" spans="1:53" outlineLevel="1">
      <c r="D138" s="1" t="str" cm="1">
        <f t="array" aca="1" ref="D138" ca="1">IFERROR(MID(_xlfn.FORMULATEXT(I138),FIND("=",_xlfn.FORMULATEXT(I138))+1,FIND("!",_xlfn.FORMULATEXT(I138))-2),MID(_xlfn.FORMULATEXT(INDEX(L138:AV138,MATCH(FALSE,ISBLANK(L138:AV138),0))),FIND("=",_xlfn.FORMULATEXT(INDEX(L138:AV138,MATCH(FALSE,ISBLANK(L138:AV138),0))))+1,FIND("!",_xlfn.FORMULATEXT(INDEX(L138:AV138,MATCH(FALSE,ISBLANK(L138:AV138),0))))-2))</f>
        <v>Transform_SO</v>
      </c>
      <c r="E138" t="s">
        <v>34</v>
      </c>
      <c r="G138" t="s">
        <v>33</v>
      </c>
      <c r="AU138" s="99">
        <f>Transform_SO!AU86</f>
        <v>0</v>
      </c>
      <c r="AV138" s="70">
        <f>Transform_SO!AV86</f>
        <v>0</v>
      </c>
      <c r="AW138" s="70">
        <f>Transform_SO!AW86</f>
        <v>0</v>
      </c>
      <c r="AX138" s="70">
        <f>Transform_SO!AX86</f>
        <v>0</v>
      </c>
      <c r="AY138" s="70">
        <f>Transform_SO!AY86</f>
        <v>0</v>
      </c>
    </row>
    <row r="139" spans="1:53" outlineLevel="1">
      <c r="D139" s="1" t="str" cm="1">
        <f t="array" aca="1" ref="D139" ca="1">IFERROR(MID(_xlfn.FORMULATEXT(I139),FIND("=",_xlfn.FORMULATEXT(I139))+1,FIND("!",_xlfn.FORMULATEXT(I139))-2),MID(_xlfn.FORMULATEXT(INDEX(L139:AV139,MATCH(FALSE,ISBLANK(L139:AV139),0))),FIND("=",_xlfn.FORMULATEXT(INDEX(L139:AV139,MATCH(FALSE,ISBLANK(L139:AV139),0))))+1,FIND("!",_xlfn.FORMULATEXT(INDEX(L139:AV139,MATCH(FALSE,ISBLANK(L139:AV139),0))))-2))</f>
        <v>Transform_SO</v>
      </c>
      <c r="E139" t="s">
        <v>35</v>
      </c>
      <c r="G139" t="s">
        <v>33</v>
      </c>
      <c r="AU139" s="99">
        <f>Transform_SO!AU87</f>
        <v>0</v>
      </c>
      <c r="AV139" s="70">
        <f>Transform_SO!AV87</f>
        <v>0</v>
      </c>
      <c r="AW139" s="70">
        <f>Transform_SO!AW87</f>
        <v>0</v>
      </c>
      <c r="AX139" s="70">
        <f>Transform_SO!AX87</f>
        <v>0</v>
      </c>
      <c r="AY139" s="70">
        <f>Transform_SO!AY87</f>
        <v>0</v>
      </c>
    </row>
    <row r="140" spans="1:53" outlineLevel="1">
      <c r="D140" s="1" t="str" cm="1">
        <f t="array" aca="1" ref="D140" ca="1">IFERROR(MID(_xlfn.FORMULATEXT(I140),FIND("=",_xlfn.FORMULATEXT(I140))+1,FIND("!",_xlfn.FORMULATEXT(I140))-2),MID(_xlfn.FORMULATEXT(INDEX(L140:AV140,MATCH(FALSE,ISBLANK(L140:AV140),0))),FIND("=",_xlfn.FORMULATEXT(INDEX(L140:AV140,MATCH(FALSE,ISBLANK(L140:AV140),0))))+1,FIND("!",_xlfn.FORMULATEXT(INDEX(L140:AV140,MATCH(FALSE,ISBLANK(L140:AV140),0))))-2))</f>
        <v>Transform_SO</v>
      </c>
      <c r="E140" t="s">
        <v>36</v>
      </c>
      <c r="G140" t="s">
        <v>33</v>
      </c>
      <c r="AU140" s="99">
        <f>Transform_SO!AU88</f>
        <v>0</v>
      </c>
      <c r="AV140" s="70">
        <f>Transform_SO!AV88</f>
        <v>0</v>
      </c>
      <c r="AW140" s="70">
        <f>Transform_SO!AW88</f>
        <v>0</v>
      </c>
      <c r="AX140" s="70">
        <f>Transform_SO!AX88</f>
        <v>0</v>
      </c>
      <c r="AY140" s="70">
        <f>Transform_SO!AY88</f>
        <v>0</v>
      </c>
    </row>
    <row r="141" spans="1:53" outlineLevel="1">
      <c r="D141" s="1" t="str" cm="1">
        <f t="array" aca="1" ref="D141" ca="1">IFERROR(MID(_xlfn.FORMULATEXT(I141),FIND("=",_xlfn.FORMULATEXT(I141))+1,FIND("!",_xlfn.FORMULATEXT(I141))-2),MID(_xlfn.FORMULATEXT(INDEX(L141:AV141,MATCH(FALSE,ISBLANK(L141:AV141),0))),FIND("=",_xlfn.FORMULATEXT(INDEX(L141:AV141,MATCH(FALSE,ISBLANK(L141:AV141),0))))+1,FIND("!",_xlfn.FORMULATEXT(INDEX(L141:AV141,MATCH(FALSE,ISBLANK(L141:AV141),0))))-2))</f>
        <v>Transform_SO</v>
      </c>
      <c r="E141" t="s">
        <v>38</v>
      </c>
      <c r="G141" t="s">
        <v>33</v>
      </c>
      <c r="AU141" s="99">
        <f>Transform_SO!AU89</f>
        <v>0</v>
      </c>
      <c r="AV141" s="70">
        <f>Transform_SO!AV89</f>
        <v>0</v>
      </c>
      <c r="AW141" s="70">
        <f>Transform_SO!AW89</f>
        <v>0</v>
      </c>
      <c r="AX141" s="70">
        <f>Transform_SO!AX89</f>
        <v>0</v>
      </c>
      <c r="AY141" s="70">
        <f>Transform_SO!AY89</f>
        <v>0</v>
      </c>
    </row>
    <row r="142" spans="1:53" outlineLevel="1">
      <c r="D142" s="1" t="str" cm="1">
        <f t="array" aca="1" ref="D142" ca="1">IFERROR(MID(_xlfn.FORMULATEXT(I142),FIND("=",_xlfn.FORMULATEXT(I142))+1,FIND("!",_xlfn.FORMULATEXT(I142))-2),MID(_xlfn.FORMULATEXT(INDEX(L142:AV142,MATCH(FALSE,ISBLANK(L142:AV142),0))),FIND("=",_xlfn.FORMULATEXT(INDEX(L142:AV142,MATCH(FALSE,ISBLANK(L142:AV142),0))))+1,FIND("!",_xlfn.FORMULATEXT(INDEX(L142:AV142,MATCH(FALSE,ISBLANK(L142:AV142),0))))-2))</f>
        <v>Transform_SO</v>
      </c>
      <c r="E142" t="s">
        <v>37</v>
      </c>
      <c r="G142" t="s">
        <v>33</v>
      </c>
      <c r="AU142" s="99">
        <f>Transform_SO!AU90</f>
        <v>0.60215836966334191</v>
      </c>
      <c r="AV142" s="70">
        <f>Transform_SO!AV90</f>
        <v>0.55991786943771249</v>
      </c>
      <c r="AW142" s="70">
        <f>Transform_SO!AW90</f>
        <v>0.58780647381666673</v>
      </c>
      <c r="AX142" s="70">
        <f>Transform_SO!AX90</f>
        <v>0.65004096369920117</v>
      </c>
      <c r="AY142" s="70">
        <f>Transform_SO!AY90</f>
        <v>0.70425384521442969</v>
      </c>
    </row>
    <row r="143" spans="1:53" outlineLevel="1"/>
    <row r="144" spans="1:53" outlineLevel="1">
      <c r="D144" s="1" t="str" cm="1">
        <f t="array" aca="1" ref="D144" ca="1">IFERROR(MID(_xlfn.FORMULATEXT(I144),FIND("=",_xlfn.FORMULATEXT(I144))+1,FIND("!",_xlfn.FORMULATEXT(I144))-2),MID(_xlfn.FORMULATEXT(INDEX(L144:AV144,MATCH(FALSE,ISBLANK(L144:AV144),0))),FIND("=",_xlfn.FORMULATEXT(INDEX(L144:AV144,MATCH(FALSE,ISBLANK(L144:AV144),0))))+1,FIND("!",_xlfn.FORMULATEXT(INDEX(L144:AV144,MATCH(FALSE,ISBLANK(L144:AV144),0))))-2))</f>
        <v>Transform_SO</v>
      </c>
      <c r="E144" t="s">
        <v>29</v>
      </c>
      <c r="G144" t="str">
        <f>nominal</f>
        <v>£m nominal</v>
      </c>
      <c r="AU144" s="95">
        <f>Transform_SO!AU69</f>
        <v>171.96320895042572</v>
      </c>
    </row>
    <row r="145" spans="4:53" outlineLevel="1">
      <c r="D145" s="1" t="str" cm="1">
        <f t="array" aca="1" ref="D145" ca="1">IFERROR(MID(_xlfn.FORMULATEXT(I145),FIND("=",_xlfn.FORMULATEXT(I145))+1,FIND("!",_xlfn.FORMULATEXT(I145))-2),MID(_xlfn.FORMULATEXT(INDEX(L145:AV145,MATCH(FALSE,ISBLANK(L145:AV145),0))),FIND("=",_xlfn.FORMULATEXT(INDEX(L145:AV145,MATCH(FALSE,ISBLANK(L145:AV145),0))))+1,FIND("!",_xlfn.FORMULATEXT(INDEX(L145:AV145,MATCH(FALSE,ISBLANK(L145:AV145),0))))-2))</f>
        <v>Transform_SO</v>
      </c>
      <c r="E145" t="s">
        <v>340</v>
      </c>
      <c r="G145" t="str">
        <f>nominal</f>
        <v>£m nominal</v>
      </c>
      <c r="AU145" s="95">
        <f>Transform_SO!AU70</f>
        <v>0</v>
      </c>
    </row>
    <row r="146" spans="4:53" outlineLevel="1">
      <c r="D146" s="1" t="str" cm="1">
        <f t="array" aca="1" ref="D146" ca="1">IFERROR(MID(_xlfn.FORMULATEXT(I146),FIND("=",_xlfn.FORMULATEXT(I146))+1,FIND("!",_xlfn.FORMULATEXT(I146))-2),MID(_xlfn.FORMULATEXT(INDEX(L146:AV146,MATCH(FALSE,ISBLANK(L146:AV146),0))),FIND("=",_xlfn.FORMULATEXT(INDEX(L146:AV146,MATCH(FALSE,ISBLANK(L146:AV146),0))))+1,FIND("!",_xlfn.FORMULATEXT(INDEX(L146:AV146,MATCH(FALSE,ISBLANK(L146:AV146),0))))-2))</f>
        <v>Transform_SO</v>
      </c>
      <c r="E146" t="s">
        <v>344</v>
      </c>
      <c r="G146" t="s">
        <v>33</v>
      </c>
      <c r="AU146" s="99">
        <f>Transform_SO!AU71</f>
        <v>0</v>
      </c>
      <c r="AV146" s="70">
        <f>Transform_SO!AV71</f>
        <v>0</v>
      </c>
      <c r="AW146" s="70">
        <f>Transform_SO!AW71</f>
        <v>0</v>
      </c>
      <c r="AX146" s="70">
        <f>Transform_SO!AX71</f>
        <v>0</v>
      </c>
      <c r="AY146" s="70">
        <f>Transform_SO!AY71</f>
        <v>0</v>
      </c>
    </row>
    <row r="147" spans="4:53" outlineLevel="1">
      <c r="D147" s="1" t="str" cm="1">
        <f t="array" aca="1" ref="D147" ca="1">IFERROR(MID(_xlfn.FORMULATEXT(I147),FIND("=",_xlfn.FORMULATEXT(I147))+1,FIND("!",_xlfn.FORMULATEXT(I147))-2),MID(_xlfn.FORMULATEXT(INDEX(L147:AV147,MATCH(FALSE,ISBLANK(L147:AV147),0))),FIND("=",_xlfn.FORMULATEXT(INDEX(L147:AV147,MATCH(FALSE,ISBLANK(L147:AV147),0))))+1,FIND("!",_xlfn.FORMULATEXT(INDEX(L147:AV147,MATCH(FALSE,ISBLANK(L147:AV147),0))))-2))</f>
        <v>Transform_TO</v>
      </c>
      <c r="E147" t="s">
        <v>86</v>
      </c>
      <c r="G147" t="s">
        <v>33</v>
      </c>
      <c r="J147" s="1"/>
      <c r="AU147" s="99">
        <f>Transform_TO!AU126</f>
        <v>0.14000000000000001</v>
      </c>
      <c r="AV147" s="70">
        <f>Transform_TO!AV126</f>
        <v>0.14000000000000001</v>
      </c>
      <c r="AW147" s="70">
        <f>Transform_TO!AW126</f>
        <v>0.14000000000000001</v>
      </c>
      <c r="AX147" s="70">
        <f>Transform_TO!AX126</f>
        <v>0.14000000000000001</v>
      </c>
      <c r="AY147" s="70">
        <f>Transform_TO!AY126</f>
        <v>0.14000000000000001</v>
      </c>
    </row>
    <row r="148" spans="4:53" outlineLevel="1">
      <c r="D148" s="1" t="str" cm="1">
        <f t="array" aca="1" ref="D148" ca="1">IFERROR(MID(_xlfn.FORMULATEXT(I148),FIND("=",_xlfn.FORMULATEXT(I148))+1,FIND("!",_xlfn.FORMULATEXT(I148))-2),MID(_xlfn.FORMULATEXT(INDEX(L148:AV148,MATCH(FALSE,ISBLANK(L148:AV148),0))),FIND("=",_xlfn.FORMULATEXT(INDEX(L148:AV148,MATCH(FALSE,ISBLANK(L148:AV148),0))))+1,FIND("!",_xlfn.FORMULATEXT(INDEX(L148:AV148,MATCH(FALSE,ISBLANK(L148:AV148),0))))-2))</f>
        <v>Transform_SO</v>
      </c>
      <c r="E148" t="s">
        <v>345</v>
      </c>
      <c r="G148" t="s">
        <v>33</v>
      </c>
      <c r="AU148" s="99">
        <f>Transform_SO!AU72</f>
        <v>1</v>
      </c>
      <c r="AV148" s="70">
        <f>Transform_SO!AV72</f>
        <v>1</v>
      </c>
      <c r="AW148" s="70">
        <f>Transform_SO!AW72</f>
        <v>1</v>
      </c>
      <c r="AX148" s="70">
        <f>Transform_SO!AX72</f>
        <v>1</v>
      </c>
      <c r="AY148" s="70">
        <f>Transform_SO!AY72</f>
        <v>1</v>
      </c>
    </row>
    <row r="149" spans="4:53" outlineLevel="1">
      <c r="D149" s="1" t="str" cm="1">
        <f t="array" aca="1" ref="D149" ca="1">IFERROR(MID(_xlfn.FORMULATEXT(I149),FIND("=",_xlfn.FORMULATEXT(I149))+1,FIND("!",_xlfn.FORMULATEXT(I149))-2),MID(_xlfn.FORMULATEXT(INDEX(L149:AV149,MATCH(FALSE,ISBLANK(L149:AV149),0))),FIND("=",_xlfn.FORMULATEXT(INDEX(L149:AV149,MATCH(FALSE,ISBLANK(L149:AV149),0))))+1,FIND("!",_xlfn.FORMULATEXT(INDEX(L149:AV149,MATCH(FALSE,ISBLANK(L149:AV149),0))))-2))</f>
        <v>Transform_SO</v>
      </c>
      <c r="E149" t="s">
        <v>30</v>
      </c>
      <c r="G149" t="str">
        <f>nominal</f>
        <v>£m nominal</v>
      </c>
      <c r="AU149" s="95">
        <f>Transform_SO!AU74</f>
        <v>0</v>
      </c>
    </row>
    <row r="150" spans="4:53" outlineLevel="1">
      <c r="D150" s="1" t="str" cm="1">
        <f t="array" aca="1" ref="D150" ca="1">IFERROR(MID(_xlfn.FORMULATEXT(I150),FIND("=",_xlfn.FORMULATEXT(I150))+1,FIND("!",_xlfn.FORMULATEXT(I150))-2),MID(_xlfn.FORMULATEXT(INDEX(L150:AV150,MATCH(FALSE,ISBLANK(L150:AV150),0))),FIND("=",_xlfn.FORMULATEXT(INDEX(L150:AV150,MATCH(FALSE,ISBLANK(L150:AV150),0))))+1,FIND("!",_xlfn.FORMULATEXT(INDEX(L150:AV150,MATCH(FALSE,ISBLANK(L150:AV150),0))))-2))</f>
        <v>Transform_SO</v>
      </c>
      <c r="E150" t="s">
        <v>341</v>
      </c>
      <c r="G150" t="str">
        <f>nominal</f>
        <v>£m nominal</v>
      </c>
      <c r="AU150" s="95">
        <f>Transform_SO!AU75</f>
        <v>0</v>
      </c>
      <c r="BA150" s="44"/>
    </row>
    <row r="151" spans="4:53" outlineLevel="1">
      <c r="D151" s="1" t="str" cm="1">
        <f t="array" aca="1" ref="D151" ca="1">IFERROR(MID(_xlfn.FORMULATEXT(I151),FIND("=",_xlfn.FORMULATEXT(I151))+1,FIND("!",_xlfn.FORMULATEXT(I151))-2),MID(_xlfn.FORMULATEXT(INDEX(L151:AV151,MATCH(FALSE,ISBLANK(L151:AV151),0))),FIND("=",_xlfn.FORMULATEXT(INDEX(L151:AV151,MATCH(FALSE,ISBLANK(L151:AV151),0))))+1,FIND("!",_xlfn.FORMULATEXT(INDEX(L151:AV151,MATCH(FALSE,ISBLANK(L151:AV151),0))))-2))</f>
        <v>Transform_SO</v>
      </c>
      <c r="E151" t="s">
        <v>346</v>
      </c>
      <c r="G151" t="s">
        <v>33</v>
      </c>
      <c r="AU151" s="99">
        <f>Transform_SO!AU76</f>
        <v>0</v>
      </c>
      <c r="AV151" s="70">
        <f>Transform_SO!AV76</f>
        <v>0</v>
      </c>
      <c r="AW151" s="70">
        <f>Transform_SO!AW76</f>
        <v>0</v>
      </c>
      <c r="AX151" s="70">
        <f>Transform_SO!AX76</f>
        <v>0</v>
      </c>
      <c r="AY151" s="70">
        <f>Transform_SO!AY76</f>
        <v>0</v>
      </c>
    </row>
    <row r="152" spans="4:53" outlineLevel="1">
      <c r="D152" s="1" t="str" cm="1">
        <f t="array" aca="1" ref="D152" ca="1">IFERROR(MID(_xlfn.FORMULATEXT(I152),FIND("=",_xlfn.FORMULATEXT(I152))+1,FIND("!",_xlfn.FORMULATEXT(I152))-2),MID(_xlfn.FORMULATEXT(INDEX(L152:AV152,MATCH(FALSE,ISBLANK(L152:AV152),0))),FIND("=",_xlfn.FORMULATEXT(INDEX(L152:AV152,MATCH(FALSE,ISBLANK(L152:AV152),0))))+1,FIND("!",_xlfn.FORMULATEXT(INDEX(L152:AV152,MATCH(FALSE,ISBLANK(L152:AV152),0))))-2))</f>
        <v>Transform_TO</v>
      </c>
      <c r="E152" t="s">
        <v>87</v>
      </c>
      <c r="G152" t="s">
        <v>33</v>
      </c>
      <c r="AU152" s="99">
        <f>Transform_TO!AU132</f>
        <v>0.06</v>
      </c>
      <c r="AV152" s="70">
        <f>Transform_TO!AV132</f>
        <v>0.06</v>
      </c>
      <c r="AW152" s="70">
        <f>Transform_TO!AW132</f>
        <v>0.06</v>
      </c>
      <c r="AX152" s="70">
        <f>Transform_TO!AX132</f>
        <v>0.06</v>
      </c>
      <c r="AY152" s="70">
        <f>Transform_TO!AY132</f>
        <v>0.06</v>
      </c>
      <c r="BA152" s="44"/>
    </row>
    <row r="153" spans="4:53" outlineLevel="1">
      <c r="D153" s="1" t="str" cm="1">
        <f t="array" aca="1" ref="D153" ca="1">IFERROR(MID(_xlfn.FORMULATEXT(I153),FIND("=",_xlfn.FORMULATEXT(I153))+1,FIND("!",_xlfn.FORMULATEXT(I153))-2),MID(_xlfn.FORMULATEXT(INDEX(L153:AV153,MATCH(FALSE,ISBLANK(L153:AV153),0))),FIND("=",_xlfn.FORMULATEXT(INDEX(L153:AV153,MATCH(FALSE,ISBLANK(L153:AV153),0))))+1,FIND("!",_xlfn.FORMULATEXT(INDEX(L153:AV153,MATCH(FALSE,ISBLANK(L153:AV153),0))))-2))</f>
        <v>Transform_SO</v>
      </c>
      <c r="E153" t="s">
        <v>347</v>
      </c>
      <c r="G153" t="s">
        <v>33</v>
      </c>
      <c r="AU153" s="99">
        <f>Transform_SO!AU77</f>
        <v>0.5</v>
      </c>
      <c r="AV153" s="70">
        <f>Transform_SO!AV77</f>
        <v>0.5</v>
      </c>
      <c r="AW153" s="70">
        <f>Transform_SO!AW77</f>
        <v>0.5</v>
      </c>
      <c r="AX153" s="70">
        <f>Transform_SO!AX77</f>
        <v>0.5</v>
      </c>
      <c r="AY153" s="70">
        <f>Transform_SO!AY77</f>
        <v>0.5</v>
      </c>
      <c r="AZ153" s="74"/>
      <c r="BA153" s="44"/>
    </row>
    <row r="154" spans="4:53" outlineLevel="1">
      <c r="D154" s="1" t="str" cm="1">
        <f t="array" aca="1" ref="D154" ca="1">IFERROR(MID(_xlfn.FORMULATEXT(I154),FIND("=",_xlfn.FORMULATEXT(I154))+1,FIND("!",_xlfn.FORMULATEXT(I154))-2),MID(_xlfn.FORMULATEXT(INDEX(L154:AV154,MATCH(FALSE,ISBLANK(L154:AV154),0))),FIND("=",_xlfn.FORMULATEXT(INDEX(L154:AV154,MATCH(FALSE,ISBLANK(L154:AV154),0))))+1,FIND("!",_xlfn.FORMULATEXT(INDEX(L154:AV154,MATCH(FALSE,ISBLANK(L154:AV154),0))))-2))</f>
        <v>Transform_SO</v>
      </c>
      <c r="E154" t="s">
        <v>343</v>
      </c>
      <c r="G154" t="str">
        <f>nominal</f>
        <v>£m nominal</v>
      </c>
      <c r="AU154" s="95">
        <f>Transform_SO!AU79</f>
        <v>0</v>
      </c>
      <c r="AZ154" s="1"/>
      <c r="BA154" s="44"/>
    </row>
    <row r="155" spans="4:53" outlineLevel="1">
      <c r="D155" s="1" t="str" cm="1">
        <f t="array" aca="1" ref="D155" ca="1">IFERROR(MID(_xlfn.FORMULATEXT(I155),FIND("=",_xlfn.FORMULATEXT(I155))+1,FIND("!",_xlfn.FORMULATEXT(I155))-2),MID(_xlfn.FORMULATEXT(INDEX(L155:AV155,MATCH(FALSE,ISBLANK(L155:AV155),0))),FIND("=",_xlfn.FORMULATEXT(INDEX(L155:AV155,MATCH(FALSE,ISBLANK(L155:AV155),0))))+1,FIND("!",_xlfn.FORMULATEXT(INDEX(L155:AV155,MATCH(FALSE,ISBLANK(L155:AV155),0))))-2))</f>
        <v>Transform_SO</v>
      </c>
      <c r="E155" t="s">
        <v>807</v>
      </c>
      <c r="G155" t="str">
        <f>nominal</f>
        <v>£m nominal</v>
      </c>
      <c r="J155" t="s">
        <v>10</v>
      </c>
      <c r="AT155" s="147">
        <f>Transform_SO!AT80</f>
        <v>0</v>
      </c>
      <c r="BA155" s="44"/>
    </row>
    <row r="156" spans="4:53" outlineLevel="1">
      <c r="D156" s="1" t="str" cm="1">
        <f t="array" aca="1" ref="D156" ca="1">IFERROR(MID(_xlfn.FORMULATEXT(I156),FIND("=",_xlfn.FORMULATEXT(I156))+1,FIND("!",_xlfn.FORMULATEXT(I156))-2),MID(_xlfn.FORMULATEXT(INDEX(L156:AV156,MATCH(FALSE,ISBLANK(L156:AV156),0))),FIND("=",_xlfn.FORMULATEXT(INDEX(L156:AV156,MATCH(FALSE,ISBLANK(L156:AV156),0))))+1,FIND("!",_xlfn.FORMULATEXT(INDEX(L156:AV156,MATCH(FALSE,ISBLANK(L156:AV156),0))))-2))</f>
        <v>Transform_TO</v>
      </c>
      <c r="E156" t="s">
        <v>358</v>
      </c>
      <c r="G156" t="s">
        <v>33</v>
      </c>
      <c r="AU156" s="99">
        <f>Transform_TO!AU137</f>
        <v>0.03</v>
      </c>
      <c r="AV156" s="70">
        <f>Transform_TO!AV137</f>
        <v>0.03</v>
      </c>
      <c r="AW156" s="70">
        <f>Transform_TO!AW137</f>
        <v>0.03</v>
      </c>
      <c r="AX156" s="70">
        <f>Transform_TO!AX137</f>
        <v>0.03</v>
      </c>
      <c r="AY156" s="70">
        <f>Transform_TO!AY137</f>
        <v>0.03</v>
      </c>
      <c r="BA156" s="44"/>
    </row>
    <row r="157" spans="4:53" outlineLevel="1">
      <c r="D157" s="1" t="str" cm="1">
        <f t="array" aca="1" ref="D157" ca="1">IFERROR(MID(_xlfn.FORMULATEXT(I157),FIND("=",_xlfn.FORMULATEXT(I157))+1,FIND("!",_xlfn.FORMULATEXT(I157))-2),MID(_xlfn.FORMULATEXT(INDEX(L157:AV157,MATCH(FALSE,ISBLANK(L157:AV157),0))),FIND("=",_xlfn.FORMULATEXT(INDEX(L157:AV157,MATCH(FALSE,ISBLANK(L157:AV157),0))))+1,FIND("!",_xlfn.FORMULATEXT(INDEX(L157:AV157,MATCH(FALSE,ISBLANK(L157:AV157),0))))-2))</f>
        <v>Transform_SO</v>
      </c>
      <c r="E157" t="s">
        <v>364</v>
      </c>
      <c r="G157" t="str">
        <f>nominal</f>
        <v>£m nominal</v>
      </c>
      <c r="AU157" s="95">
        <f>Transform_SO!AU82</f>
        <v>0</v>
      </c>
      <c r="AZ157" s="1"/>
      <c r="BA157" s="44"/>
    </row>
    <row r="158" spans="4:53" outlineLevel="1">
      <c r="D158" s="1" t="str" cm="1">
        <f t="array" aca="1" ref="D158" ca="1">IFERROR(MID(_xlfn.FORMULATEXT(I158),FIND("=",_xlfn.FORMULATEXT(I158))+1,FIND("!",_xlfn.FORMULATEXT(I158))-2),MID(_xlfn.FORMULATEXT(INDEX(L158:AV158,MATCH(FALSE,ISBLANK(L158:AV158),0))),FIND("=",_xlfn.FORMULATEXT(INDEX(L158:AV158,MATCH(FALSE,ISBLANK(L158:AV158),0))))+1,FIND("!",_xlfn.FORMULATEXT(INDEX(L158:AV158,MATCH(FALSE,ISBLANK(L158:AV158),0))))-2))</f>
        <v>Transform_SO</v>
      </c>
      <c r="E158" t="s">
        <v>806</v>
      </c>
      <c r="G158" t="str">
        <f>nominal</f>
        <v>£m nominal</v>
      </c>
      <c r="J158" t="s">
        <v>10</v>
      </c>
      <c r="AT158" s="104">
        <f>Transform_SO!AT83</f>
        <v>0</v>
      </c>
      <c r="AZ158" s="1"/>
      <c r="BA158" s="44"/>
    </row>
    <row r="159" spans="4:53" outlineLevel="1">
      <c r="D159" s="1" t="str" cm="1">
        <f t="array" aca="1" ref="D159" ca="1">IFERROR(MID(_xlfn.FORMULATEXT(I159),FIND("=",_xlfn.FORMULATEXT(I159))+1,FIND("!",_xlfn.FORMULATEXT(I159))-2),MID(_xlfn.FORMULATEXT(INDEX(L159:AV159,MATCH(FALSE,ISBLANK(L159:AV159),0))),FIND("=",_xlfn.FORMULATEXT(INDEX(L159:AV159,MATCH(FALSE,ISBLANK(L159:AV159),0))))+1,FIND("!",_xlfn.FORMULATEXT(INDEX(L159:AV159,MATCH(FALSE,ISBLANK(L159:AV159),0))))-2))</f>
        <v>Transform_TO</v>
      </c>
      <c r="E159" t="s">
        <v>365</v>
      </c>
      <c r="G159" t="s">
        <v>33</v>
      </c>
      <c r="AU159" s="99">
        <f>Transform_TO!AU141</f>
        <v>2.2200000000000001E-2</v>
      </c>
      <c r="AV159" s="70">
        <f>Transform_TO!AV141</f>
        <v>2.2200000000000001E-2</v>
      </c>
      <c r="AW159" s="70">
        <f>Transform_TO!AW141</f>
        <v>2.2200000000000001E-2</v>
      </c>
      <c r="AX159" s="70">
        <f>Transform_TO!AX141</f>
        <v>2.2200000000000001E-2</v>
      </c>
      <c r="AY159" s="70">
        <f>Transform_TO!AY141</f>
        <v>2.2200000000000001E-2</v>
      </c>
      <c r="AZ159" s="1"/>
      <c r="BA159" s="44"/>
    </row>
    <row r="160" spans="4:53">
      <c r="BA160" s="44"/>
    </row>
    <row r="161" spans="2:56" ht="20" thickBot="1">
      <c r="B161" s="15" t="s">
        <v>168</v>
      </c>
      <c r="BA161" s="44"/>
    </row>
    <row r="162" spans="2:56" ht="16.5" thickTop="1">
      <c r="E162" t="s">
        <v>8</v>
      </c>
      <c r="G162" t="str">
        <f>price_label</f>
        <v>£m 23/24 prices</v>
      </c>
      <c r="AU162" s="96">
        <f>SUM(AU132:AU133)</f>
        <v>130.51266746071127</v>
      </c>
      <c r="AV162" s="61">
        <f>SUM(AV132:AV133)</f>
        <v>139.91165659720485</v>
      </c>
      <c r="AW162" s="61">
        <f>SUM(AW132:AW133)</f>
        <v>134.09909509594934</v>
      </c>
      <c r="AX162" s="61">
        <f>SUM(AX132:AX133)</f>
        <v>120.35399974977341</v>
      </c>
      <c r="AY162" s="61">
        <f>SUM(AY132:AY133)</f>
        <v>108.09452089088215</v>
      </c>
      <c r="BA162" s="44" t="str">
        <f t="shared" ref="BA162:BA190" ca="1" si="33">$A$1</f>
        <v>Calculations_SO</v>
      </c>
      <c r="BB162" s="1" t="str">
        <f>$A$130</f>
        <v>TaxPools</v>
      </c>
      <c r="BC162" s="1" t="str">
        <f>$B$161</f>
        <v>Tax pool additions</v>
      </c>
    </row>
    <row r="163" spans="2:56">
      <c r="E163" t="s">
        <v>648</v>
      </c>
      <c r="G163" t="str">
        <f>price_label</f>
        <v>£m 23/24 prices</v>
      </c>
      <c r="AU163" s="96">
        <f>SUM(AU134:AU135)</f>
        <v>205.27800995406818</v>
      </c>
      <c r="AV163" s="61">
        <f>SUM(AV134:AV135)</f>
        <v>161.8602154079768</v>
      </c>
      <c r="AW163" s="61">
        <f>SUM(AW134:AW135)</f>
        <v>146.85149628589215</v>
      </c>
      <c r="AX163" s="61">
        <f>SUM(AX134:AX135)</f>
        <v>144.07844755629597</v>
      </c>
      <c r="AY163" s="61">
        <f>SUM(AY134:AY135)</f>
        <v>143.22405459970267</v>
      </c>
      <c r="BA163" s="44" t="str">
        <f t="shared" ca="1" si="33"/>
        <v>Calculations_SO</v>
      </c>
      <c r="BB163" s="1" t="str">
        <f>$A$130</f>
        <v>TaxPools</v>
      </c>
      <c r="BC163" s="1" t="str">
        <f>$B$161</f>
        <v>Tax pool additions</v>
      </c>
    </row>
    <row r="164" spans="2:56"/>
    <row r="165" spans="2:56" ht="20" thickBot="1">
      <c r="B165" s="15" t="s">
        <v>169</v>
      </c>
      <c r="AU165" s="3"/>
      <c r="AV165" s="3"/>
      <c r="AW165" s="3"/>
      <c r="AX165" s="3"/>
      <c r="AY165" s="3"/>
      <c r="BA165" s="44"/>
    </row>
    <row r="166" spans="2:56" ht="16.5" thickTop="1">
      <c r="E166" t="s">
        <v>170</v>
      </c>
      <c r="G166" t="str">
        <f t="shared" ref="G166" si="34">price_label</f>
        <v>£m 23/24 prices</v>
      </c>
      <c r="AU166" s="96">
        <f t="shared" ref="AU166:AY170" si="35">AU$162*AU137</f>
        <v>51.923372402155465</v>
      </c>
      <c r="AV166" s="61">
        <f t="shared" si="35"/>
        <v>61.572619925797028</v>
      </c>
      <c r="AW166" s="61">
        <f t="shared" si="35"/>
        <v>55.27477886559349</v>
      </c>
      <c r="AX166" s="61">
        <f t="shared" si="35"/>
        <v>42.11896976737728</v>
      </c>
      <c r="AY166" s="61">
        <f t="shared" si="35"/>
        <v>31.968538906866897</v>
      </c>
      <c r="BA166" s="44" t="str">
        <f t="shared" ca="1" si="33"/>
        <v>Calculations_SO</v>
      </c>
      <c r="BB166" s="1" t="str">
        <f>$A$130</f>
        <v>TaxPools</v>
      </c>
      <c r="BC166" s="1" t="str">
        <f>$B$165</f>
        <v>Tax pool allocation</v>
      </c>
    </row>
    <row r="167" spans="2:56">
      <c r="E167" t="s">
        <v>171</v>
      </c>
      <c r="G167" t="str">
        <f t="shared" ref="G167" si="36">price_label</f>
        <v>£m 23/24 prices</v>
      </c>
      <c r="AU167" s="96">
        <f t="shared" si="35"/>
        <v>0</v>
      </c>
      <c r="AV167" s="61">
        <f t="shared" si="35"/>
        <v>0</v>
      </c>
      <c r="AW167" s="61">
        <f t="shared" si="35"/>
        <v>0</v>
      </c>
      <c r="AX167" s="61">
        <f t="shared" si="35"/>
        <v>0</v>
      </c>
      <c r="AY167" s="61">
        <f t="shared" si="35"/>
        <v>0</v>
      </c>
      <c r="BA167" s="44" t="str">
        <f t="shared" ca="1" si="33"/>
        <v>Calculations_SO</v>
      </c>
      <c r="BB167" s="1" t="str">
        <f>$A$130</f>
        <v>TaxPools</v>
      </c>
      <c r="BC167" s="1" t="str">
        <f>$B$165</f>
        <v>Tax pool allocation</v>
      </c>
    </row>
    <row r="168" spans="2:56">
      <c r="E168" t="s">
        <v>172</v>
      </c>
      <c r="G168" t="str">
        <f t="shared" ref="G168" si="37">price_label</f>
        <v>£m 23/24 prices</v>
      </c>
      <c r="AU168" s="96">
        <f t="shared" si="35"/>
        <v>0</v>
      </c>
      <c r="AV168" s="61">
        <f t="shared" si="35"/>
        <v>0</v>
      </c>
      <c r="AW168" s="61">
        <f t="shared" si="35"/>
        <v>0</v>
      </c>
      <c r="AX168" s="61">
        <f t="shared" si="35"/>
        <v>0</v>
      </c>
      <c r="AY168" s="61">
        <f t="shared" si="35"/>
        <v>0</v>
      </c>
      <c r="BA168" s="44" t="str">
        <f t="shared" ca="1" si="33"/>
        <v>Calculations_SO</v>
      </c>
      <c r="BB168" s="1" t="str">
        <f>$A$130</f>
        <v>TaxPools</v>
      </c>
      <c r="BC168" s="1" t="str">
        <f>$B$165</f>
        <v>Tax pool allocation</v>
      </c>
    </row>
    <row r="169" spans="2:56">
      <c r="E169" t="s">
        <v>173</v>
      </c>
      <c r="G169" t="str">
        <f t="shared" ref="G169" si="38">price_label</f>
        <v>£m 23/24 prices</v>
      </c>
      <c r="AU169" s="96">
        <f t="shared" si="35"/>
        <v>0</v>
      </c>
      <c r="AV169" s="61">
        <f t="shared" si="35"/>
        <v>0</v>
      </c>
      <c r="AW169" s="61">
        <f t="shared" si="35"/>
        <v>0</v>
      </c>
      <c r="AX169" s="61">
        <f t="shared" si="35"/>
        <v>0</v>
      </c>
      <c r="AY169" s="61">
        <f t="shared" si="35"/>
        <v>0</v>
      </c>
      <c r="BA169" s="44" t="str">
        <f t="shared" ca="1" si="33"/>
        <v>Calculations_SO</v>
      </c>
      <c r="BB169" s="1" t="str">
        <f>$A$130</f>
        <v>TaxPools</v>
      </c>
      <c r="BC169" s="1" t="str">
        <f>$B$165</f>
        <v>Tax pool allocation</v>
      </c>
    </row>
    <row r="170" spans="2:56">
      <c r="E170" t="s">
        <v>174</v>
      </c>
      <c r="G170" t="str">
        <f t="shared" ref="G170" si="39">price_label</f>
        <v>£m 23/24 prices</v>
      </c>
      <c r="AU170" s="96">
        <f t="shared" si="35"/>
        <v>0</v>
      </c>
      <c r="AV170" s="61">
        <f t="shared" si="35"/>
        <v>0</v>
      </c>
      <c r="AW170" s="61">
        <f t="shared" si="35"/>
        <v>0</v>
      </c>
      <c r="AX170" s="61">
        <f t="shared" si="35"/>
        <v>0</v>
      </c>
      <c r="AY170" s="61">
        <f t="shared" si="35"/>
        <v>0</v>
      </c>
      <c r="AZ170" s="1"/>
      <c r="BA170" s="44" t="str">
        <f t="shared" ca="1" si="33"/>
        <v>Calculations_SO</v>
      </c>
      <c r="BB170" s="1" t="str">
        <f>$A$130</f>
        <v>TaxPools</v>
      </c>
      <c r="BC170" s="1" t="str">
        <f>$B$165</f>
        <v>Tax pool allocation</v>
      </c>
    </row>
    <row r="171" spans="2:56">
      <c r="AZ171" s="1"/>
      <c r="BA171" s="44"/>
    </row>
    <row r="172" spans="2:56">
      <c r="E172" t="s">
        <v>175</v>
      </c>
      <c r="G172" t="str">
        <f t="shared" ref="G172" si="40">price_label</f>
        <v>£m 23/24 prices</v>
      </c>
      <c r="AU172" s="96">
        <f>AU162*AU142+AU163</f>
        <v>283.867305012624</v>
      </c>
      <c r="AV172" s="61">
        <f>AV162*AV142+AV163</f>
        <v>240.19925207938462</v>
      </c>
      <c r="AW172" s="61">
        <f>AW162*AW142+AW163</f>
        <v>225.67581251624802</v>
      </c>
      <c r="AX172" s="61">
        <f>AX162*AX142+AX163</f>
        <v>222.3134775386921</v>
      </c>
      <c r="AY172" s="61">
        <f>AY162*AY142+AY163</f>
        <v>219.35003658371792</v>
      </c>
      <c r="AZ172" s="1"/>
      <c r="BA172" s="44" t="str">
        <f t="shared" ca="1" si="33"/>
        <v>Calculations_SO</v>
      </c>
      <c r="BB172" s="1" t="str">
        <f>$A$130</f>
        <v>TaxPools</v>
      </c>
      <c r="BC172" s="1" t="str">
        <f>$B$165</f>
        <v>Tax pool allocation</v>
      </c>
    </row>
    <row r="173" spans="2:56">
      <c r="BA173" s="44"/>
    </row>
    <row r="174" spans="2:56" ht="20" thickBot="1">
      <c r="B174" s="15" t="s">
        <v>176</v>
      </c>
      <c r="AU174" s="3"/>
      <c r="AV174" s="3"/>
      <c r="AW174" s="3"/>
      <c r="AX174" s="3"/>
      <c r="AY174" s="3"/>
      <c r="BA174" s="44"/>
    </row>
    <row r="175" spans="2:56" ht="18" thickTop="1" thickBot="1">
      <c r="C175" s="17" t="s">
        <v>177</v>
      </c>
      <c r="AU175" s="3"/>
      <c r="AV175" s="3"/>
      <c r="AW175" s="3"/>
      <c r="AX175" s="3"/>
      <c r="AY175" s="3"/>
      <c r="BA175" s="44"/>
    </row>
    <row r="176" spans="2:56" ht="16.5" thickTop="1">
      <c r="E176" t="s">
        <v>152</v>
      </c>
      <c r="G176" t="str">
        <f>nominal</f>
        <v>£m nominal</v>
      </c>
      <c r="AU176" s="96">
        <f>AU144*StartingBalance+AT183</f>
        <v>171.96320895042572</v>
      </c>
      <c r="AV176" s="61">
        <f>AV144*StartingBalance+AU183</f>
        <v>196.81024851897337</v>
      </c>
      <c r="AW176" s="61">
        <f>AW144*StartingBalance+AV183</f>
        <v>228.50936391187034</v>
      </c>
      <c r="AX176" s="61">
        <f>AX144*StartingBalance+AW183</f>
        <v>250.83866603268476</v>
      </c>
      <c r="AY176" s="61">
        <f>AY144*StartingBalance+AX183</f>
        <v>257.98524879938401</v>
      </c>
      <c r="BA176" s="44" t="str">
        <f t="shared" ca="1" si="33"/>
        <v>Calculations_SO</v>
      </c>
      <c r="BB176" s="1" t="str">
        <f t="shared" ref="BB176:BB183" si="41">$A$130</f>
        <v>TaxPools</v>
      </c>
      <c r="BC176" s="1" t="str">
        <f t="shared" ref="BC176:BC183" si="42">$B$174</f>
        <v>Capital allowances</v>
      </c>
      <c r="BD176" s="1" t="str">
        <f t="shared" ref="BD176:BD183" si="43">$C$175</f>
        <v>General Pool</v>
      </c>
    </row>
    <row r="177" spans="3:56">
      <c r="E177" t="s">
        <v>340</v>
      </c>
      <c r="G177" t="str">
        <f t="shared" ref="G177:G183" si="44">nominal</f>
        <v>£m nominal</v>
      </c>
      <c r="AU177" s="97">
        <f>AU$145</f>
        <v>0</v>
      </c>
      <c r="AV177" s="38">
        <f>AV$145</f>
        <v>0</v>
      </c>
      <c r="AW177" s="38">
        <f>AW$145</f>
        <v>0</v>
      </c>
      <c r="AX177" s="38">
        <f>AX$145</f>
        <v>0</v>
      </c>
      <c r="AY177" s="38">
        <f>AY$145</f>
        <v>0</v>
      </c>
      <c r="BA177" s="44" t="str">
        <f t="shared" ca="1" si="33"/>
        <v>Calculations_SO</v>
      </c>
      <c r="BB177" s="1" t="str">
        <f t="shared" si="41"/>
        <v>TaxPools</v>
      </c>
      <c r="BC177" s="1" t="str">
        <f t="shared" si="42"/>
        <v>Capital allowances</v>
      </c>
      <c r="BD177" s="1" t="str">
        <f t="shared" si="43"/>
        <v>General Pool</v>
      </c>
    </row>
    <row r="178" spans="3:56">
      <c r="E178" t="s">
        <v>170</v>
      </c>
      <c r="G178" t="str">
        <f t="shared" si="44"/>
        <v>£m nominal</v>
      </c>
      <c r="AU178" s="97">
        <f>AU$166*PCf</f>
        <v>56.885917234427005</v>
      </c>
      <c r="AV178" s="38">
        <f>AV$166*PCf</f>
        <v>68.898314169247939</v>
      </c>
      <c r="AW178" s="38">
        <f>AW$166*PCf</f>
        <v>63.16350356799564</v>
      </c>
      <c r="AX178" s="38">
        <f>AX$166*PCf</f>
        <v>49.144181408459424</v>
      </c>
      <c r="AY178" s="38">
        <f>AY$166*PCf</f>
        <v>38.095839724041667</v>
      </c>
      <c r="BA178" s="44" t="str">
        <f t="shared" ca="1" si="33"/>
        <v>Calculations_SO</v>
      </c>
      <c r="BB178" s="1" t="str">
        <f t="shared" si="41"/>
        <v>TaxPools</v>
      </c>
      <c r="BC178" s="1" t="str">
        <f t="shared" si="42"/>
        <v>Capital allowances</v>
      </c>
      <c r="BD178" s="1" t="str">
        <f t="shared" si="43"/>
        <v>General Pool</v>
      </c>
    </row>
    <row r="179" spans="3:56">
      <c r="E179" t="s">
        <v>350</v>
      </c>
      <c r="G179" t="str">
        <f t="shared" si="44"/>
        <v>£m nominal</v>
      </c>
      <c r="AU179" s="96">
        <f>-AU178*AU$146</f>
        <v>0</v>
      </c>
      <c r="AV179" s="61">
        <f>-AV178*AV$146</f>
        <v>0</v>
      </c>
      <c r="AW179" s="61">
        <f>-AW178*AW$146</f>
        <v>0</v>
      </c>
      <c r="AX179" s="61">
        <f>-AX178*AX$146</f>
        <v>0</v>
      </c>
      <c r="AY179" s="61">
        <f>-AY178*AY$146</f>
        <v>0</v>
      </c>
      <c r="BA179" s="44" t="str">
        <f t="shared" ca="1" si="33"/>
        <v>Calculations_SO</v>
      </c>
      <c r="BB179" s="1" t="str">
        <f t="shared" si="41"/>
        <v>TaxPools</v>
      </c>
      <c r="BC179" s="1" t="str">
        <f t="shared" si="42"/>
        <v>Capital allowances</v>
      </c>
      <c r="BD179" s="1" t="str">
        <f t="shared" si="43"/>
        <v>General Pool</v>
      </c>
    </row>
    <row r="180" spans="3:56">
      <c r="E180" t="s">
        <v>351</v>
      </c>
      <c r="G180" t="str">
        <f t="shared" si="44"/>
        <v>£m nominal</v>
      </c>
      <c r="AU180" s="97">
        <f>-AU186</f>
        <v>0</v>
      </c>
      <c r="AV180" s="38">
        <f>-AV186</f>
        <v>0</v>
      </c>
      <c r="AW180" s="38">
        <f>-AW186</f>
        <v>0</v>
      </c>
      <c r="AX180" s="38">
        <f>-AX186</f>
        <v>0</v>
      </c>
      <c r="AY180" s="38">
        <f>-AY186</f>
        <v>0</v>
      </c>
      <c r="BA180" s="44" t="str">
        <f t="shared" ca="1" si="33"/>
        <v>Calculations_SO</v>
      </c>
      <c r="BB180" s="1" t="str">
        <f t="shared" si="41"/>
        <v>TaxPools</v>
      </c>
      <c r="BC180" s="1" t="str">
        <f t="shared" si="42"/>
        <v>Capital allowances</v>
      </c>
      <c r="BD180" s="1" t="str">
        <f t="shared" si="43"/>
        <v>General Pool</v>
      </c>
    </row>
    <row r="181" spans="3:56">
      <c r="E181" t="s">
        <v>178</v>
      </c>
      <c r="G181" t="str">
        <f t="shared" si="44"/>
        <v>£m nominal</v>
      </c>
      <c r="AU181" s="96">
        <f>SUM(AU176:AU180)</f>
        <v>228.84912618485274</v>
      </c>
      <c r="AV181" s="61">
        <f>SUM(AV176:AV180)</f>
        <v>265.70856268822132</v>
      </c>
      <c r="AW181" s="61">
        <f>SUM(AW176:AW180)</f>
        <v>291.672867479866</v>
      </c>
      <c r="AX181" s="61">
        <f>SUM(AX176:AX180)</f>
        <v>299.9828474411442</v>
      </c>
      <c r="AY181" s="61">
        <f>SUM(AY176:AY180)</f>
        <v>296.08108852342571</v>
      </c>
      <c r="BA181" s="44" t="str">
        <f t="shared" ca="1" si="33"/>
        <v>Calculations_SO</v>
      </c>
      <c r="BB181" s="1" t="str">
        <f t="shared" si="41"/>
        <v>TaxPools</v>
      </c>
      <c r="BC181" s="1" t="str">
        <f t="shared" si="42"/>
        <v>Capital allowances</v>
      </c>
      <c r="BD181" s="1" t="str">
        <f t="shared" si="43"/>
        <v>General Pool</v>
      </c>
    </row>
    <row r="182" spans="3:56">
      <c r="E182" t="s">
        <v>179</v>
      </c>
      <c r="G182" t="str">
        <f t="shared" si="44"/>
        <v>£m nominal</v>
      </c>
      <c r="AU182" s="96">
        <f>-AU181*AU$147</f>
        <v>-32.038877665879383</v>
      </c>
      <c r="AV182" s="61">
        <f>-AV181*AV$147</f>
        <v>-37.19919877635099</v>
      </c>
      <c r="AW182" s="61">
        <f>-AW181*AW$147</f>
        <v>-40.834201447181243</v>
      </c>
      <c r="AX182" s="61">
        <f>-AX181*AX$147</f>
        <v>-41.997598641760192</v>
      </c>
      <c r="AY182" s="61">
        <f>-AY181*AY$147</f>
        <v>-41.451352393279606</v>
      </c>
      <c r="BA182" s="44" t="str">
        <f t="shared" ca="1" si="33"/>
        <v>Calculations_SO</v>
      </c>
      <c r="BB182" s="1" t="str">
        <f t="shared" si="41"/>
        <v>TaxPools</v>
      </c>
      <c r="BC182" s="1" t="str">
        <f t="shared" si="42"/>
        <v>Capital allowances</v>
      </c>
      <c r="BD182" s="1" t="str">
        <f t="shared" si="43"/>
        <v>General Pool</v>
      </c>
    </row>
    <row r="183" spans="3:56">
      <c r="E183" t="s">
        <v>180</v>
      </c>
      <c r="G183" t="str">
        <f t="shared" si="44"/>
        <v>£m nominal</v>
      </c>
      <c r="AU183" s="96">
        <f>SUM(AU181:AU182)</f>
        <v>196.81024851897337</v>
      </c>
      <c r="AV183" s="61">
        <f>SUM(AV181:AV182)</f>
        <v>228.50936391187034</v>
      </c>
      <c r="AW183" s="61">
        <f>SUM(AW181:AW182)</f>
        <v>250.83866603268476</v>
      </c>
      <c r="AX183" s="61">
        <f>SUM(AX181:AX182)</f>
        <v>257.98524879938401</v>
      </c>
      <c r="AY183" s="61">
        <f>SUM(AY181:AY182)</f>
        <v>254.62973613014611</v>
      </c>
      <c r="BA183" s="44" t="str">
        <f t="shared" ca="1" si="33"/>
        <v>Calculations_SO</v>
      </c>
      <c r="BB183" s="1" t="str">
        <f t="shared" si="41"/>
        <v>TaxPools</v>
      </c>
      <c r="BC183" s="1" t="str">
        <f t="shared" si="42"/>
        <v>Capital allowances</v>
      </c>
      <c r="BD183" s="1" t="str">
        <f t="shared" si="43"/>
        <v>General Pool</v>
      </c>
    </row>
    <row r="184" spans="3:56">
      <c r="AU184" s="3"/>
      <c r="AV184" s="3"/>
      <c r="AW184" s="3"/>
      <c r="AX184" s="3"/>
      <c r="AY184" s="3"/>
      <c r="BA184" s="44"/>
    </row>
    <row r="185" spans="3:56">
      <c r="E185" t="s">
        <v>152</v>
      </c>
      <c r="G185" t="str">
        <f t="shared" ref="G185:G190" si="45">nominal</f>
        <v>£m nominal</v>
      </c>
      <c r="AU185" s="97">
        <f>AT190</f>
        <v>0</v>
      </c>
      <c r="AV185" s="38">
        <f>AU190</f>
        <v>0</v>
      </c>
      <c r="AW185" s="38">
        <f>AV190</f>
        <v>0</v>
      </c>
      <c r="AX185" s="38">
        <f>AW190</f>
        <v>0</v>
      </c>
      <c r="AY185" s="38">
        <f>AX190</f>
        <v>0</v>
      </c>
      <c r="BA185" s="44" t="str">
        <f t="shared" ca="1" si="33"/>
        <v>Calculations_SO</v>
      </c>
      <c r="BB185" s="1" t="str">
        <f t="shared" ref="BB185:BB190" si="46">$A$130</f>
        <v>TaxPools</v>
      </c>
      <c r="BC185" s="1" t="str">
        <f t="shared" ref="BC185:BC190" si="47">$B$174</f>
        <v>Capital allowances</v>
      </c>
      <c r="BD185" s="1" t="str">
        <f t="shared" ref="BD185:BD190" si="48">$C$175</f>
        <v>General Pool</v>
      </c>
    </row>
    <row r="186" spans="3:56">
      <c r="E186" t="s">
        <v>181</v>
      </c>
      <c r="G186" t="str">
        <f t="shared" si="45"/>
        <v>£m nominal</v>
      </c>
      <c r="AU186" s="97">
        <f>-AU185</f>
        <v>0</v>
      </c>
      <c r="AV186" s="38">
        <f>-AV185</f>
        <v>0</v>
      </c>
      <c r="AW186" s="38">
        <f>-AW185</f>
        <v>0</v>
      </c>
      <c r="AX186" s="38">
        <f>-AX185</f>
        <v>0</v>
      </c>
      <c r="AY186" s="38">
        <f>-AY185</f>
        <v>0</v>
      </c>
      <c r="BA186" s="44" t="str">
        <f t="shared" ca="1" si="33"/>
        <v>Calculations_SO</v>
      </c>
      <c r="BB186" s="1" t="str">
        <f t="shared" si="46"/>
        <v>TaxPools</v>
      </c>
      <c r="BC186" s="1" t="str">
        <f t="shared" si="47"/>
        <v>Capital allowances</v>
      </c>
      <c r="BD186" s="1" t="str">
        <f t="shared" si="48"/>
        <v>General Pool</v>
      </c>
    </row>
    <row r="187" spans="3:56">
      <c r="E187" t="s">
        <v>352</v>
      </c>
      <c r="G187" t="str">
        <f t="shared" si="45"/>
        <v>£m nominal</v>
      </c>
      <c r="AU187" s="97">
        <f>-AU179</f>
        <v>0</v>
      </c>
      <c r="AV187" s="38">
        <f>-AV179</f>
        <v>0</v>
      </c>
      <c r="AW187" s="38">
        <f>-AW179</f>
        <v>0</v>
      </c>
      <c r="AX187" s="38">
        <f>-AX179</f>
        <v>0</v>
      </c>
      <c r="AY187" s="38">
        <f>-AY179</f>
        <v>0</v>
      </c>
      <c r="BA187" s="44" t="str">
        <f t="shared" ca="1" si="33"/>
        <v>Calculations_SO</v>
      </c>
      <c r="BB187" s="1" t="str">
        <f t="shared" si="46"/>
        <v>TaxPools</v>
      </c>
      <c r="BC187" s="1" t="str">
        <f t="shared" si="47"/>
        <v>Capital allowances</v>
      </c>
      <c r="BD187" s="1" t="str">
        <f t="shared" si="48"/>
        <v>General Pool</v>
      </c>
    </row>
    <row r="188" spans="3:56">
      <c r="E188" t="s">
        <v>178</v>
      </c>
      <c r="G188" t="str">
        <f t="shared" si="45"/>
        <v>£m nominal</v>
      </c>
      <c r="AU188" s="96">
        <f>SUM(AU185:AU187)</f>
        <v>0</v>
      </c>
      <c r="AV188" s="61">
        <f>SUM(AV185:AV187)</f>
        <v>0</v>
      </c>
      <c r="AW188" s="61">
        <f>SUM(AW185:AW187)</f>
        <v>0</v>
      </c>
      <c r="AX188" s="61">
        <f>SUM(AX185:AX187)</f>
        <v>0</v>
      </c>
      <c r="AY188" s="61">
        <f>SUM(AY185:AY187)</f>
        <v>0</v>
      </c>
      <c r="BA188" s="44" t="str">
        <f t="shared" ca="1" si="33"/>
        <v>Calculations_SO</v>
      </c>
      <c r="BB188" s="1" t="str">
        <f t="shared" si="46"/>
        <v>TaxPools</v>
      </c>
      <c r="BC188" s="1" t="str">
        <f t="shared" si="47"/>
        <v>Capital allowances</v>
      </c>
      <c r="BD188" s="1" t="str">
        <f t="shared" si="48"/>
        <v>General Pool</v>
      </c>
    </row>
    <row r="189" spans="3:56">
      <c r="E189" t="s">
        <v>179</v>
      </c>
      <c r="G189" t="str">
        <f t="shared" si="45"/>
        <v>£m nominal</v>
      </c>
      <c r="AU189" s="96">
        <f>AU188*-AU$148</f>
        <v>0</v>
      </c>
      <c r="AV189" s="61">
        <f>AV188*-AV$148</f>
        <v>0</v>
      </c>
      <c r="AW189" s="61">
        <f>AW188*-AW$148</f>
        <v>0</v>
      </c>
      <c r="AX189" s="61">
        <f>AX188*-AX$148</f>
        <v>0</v>
      </c>
      <c r="AY189" s="61">
        <f>AY188*-AY$148</f>
        <v>0</v>
      </c>
      <c r="BA189" s="44" t="str">
        <f t="shared" ca="1" si="33"/>
        <v>Calculations_SO</v>
      </c>
      <c r="BB189" s="1" t="str">
        <f t="shared" si="46"/>
        <v>TaxPools</v>
      </c>
      <c r="BC189" s="1" t="str">
        <f t="shared" si="47"/>
        <v>Capital allowances</v>
      </c>
      <c r="BD189" s="1" t="str">
        <f t="shared" si="48"/>
        <v>General Pool</v>
      </c>
    </row>
    <row r="190" spans="3:56">
      <c r="E190" t="s">
        <v>182</v>
      </c>
      <c r="G190" t="str">
        <f t="shared" si="45"/>
        <v>£m nominal</v>
      </c>
      <c r="AU190" s="96">
        <f>MAX(SUM(AU188:AU189),0)</f>
        <v>0</v>
      </c>
      <c r="AV190" s="61">
        <f>MAX(SUM(AV188:AV189),0)</f>
        <v>0</v>
      </c>
      <c r="AW190" s="61">
        <f>MAX(SUM(AW188:AW189),0)</f>
        <v>0</v>
      </c>
      <c r="AX190" s="61">
        <f>MAX(SUM(AX188:AX189),0)</f>
        <v>0</v>
      </c>
      <c r="AY190" s="61">
        <f>MAX(SUM(AY188:AY189),0)</f>
        <v>0</v>
      </c>
      <c r="BA190" s="44" t="str">
        <f t="shared" ca="1" si="33"/>
        <v>Calculations_SO</v>
      </c>
      <c r="BB190" s="1" t="str">
        <f t="shared" si="46"/>
        <v>TaxPools</v>
      </c>
      <c r="BC190" s="1" t="str">
        <f t="shared" si="47"/>
        <v>Capital allowances</v>
      </c>
      <c r="BD190" s="1" t="str">
        <f t="shared" si="48"/>
        <v>General Pool</v>
      </c>
    </row>
    <row r="191" spans="3:56">
      <c r="AU191" s="3"/>
      <c r="AV191" s="3"/>
      <c r="AW191" s="3"/>
      <c r="AX191" s="3"/>
      <c r="AY191" s="3"/>
      <c r="BA191" s="44"/>
    </row>
    <row r="192" spans="3:56" ht="17.5" thickBot="1">
      <c r="C192" s="17" t="s">
        <v>183</v>
      </c>
      <c r="AU192" s="3"/>
      <c r="AV192" s="3"/>
      <c r="AW192" s="3"/>
      <c r="AX192" s="3"/>
      <c r="AY192" s="3"/>
      <c r="BA192" s="44"/>
    </row>
    <row r="193" spans="5:56" ht="16.5" thickTop="1">
      <c r="E193" t="s">
        <v>152</v>
      </c>
      <c r="G193" t="str">
        <f t="shared" ref="G193:G200" si="49">nominal</f>
        <v>£m nominal</v>
      </c>
      <c r="AU193" s="96">
        <f>AU149*StartingBalance+AT200</f>
        <v>0</v>
      </c>
      <c r="AV193" s="61">
        <f>AV149*StartingBalance+AU200</f>
        <v>0</v>
      </c>
      <c r="AW193" s="61">
        <f>AW149*StartingBalance+AV200</f>
        <v>0</v>
      </c>
      <c r="AX193" s="61">
        <f>AX149*StartingBalance+AW200</f>
        <v>0</v>
      </c>
      <c r="AY193" s="61">
        <f>AY149*StartingBalance+AX200</f>
        <v>0</v>
      </c>
      <c r="BA193" s="44" t="str">
        <f t="shared" ref="BA193:BA228" ca="1" si="50">$A$1</f>
        <v>Calculations_SO</v>
      </c>
      <c r="BB193" s="1" t="str">
        <f t="shared" ref="BB193:BB200" si="51">$A$130</f>
        <v>TaxPools</v>
      </c>
      <c r="BC193" s="1" t="str">
        <f t="shared" ref="BC193:BC200" si="52">$B$174</f>
        <v>Capital allowances</v>
      </c>
      <c r="BD193" s="1" t="str">
        <f t="shared" ref="BD193:BD200" si="53">$C$192</f>
        <v>Special rates Pool</v>
      </c>
    </row>
    <row r="194" spans="5:56">
      <c r="E194" t="s">
        <v>341</v>
      </c>
      <c r="G194" t="str">
        <f t="shared" si="49"/>
        <v>£m nominal</v>
      </c>
      <c r="AU194" s="97">
        <f>AU$150</f>
        <v>0</v>
      </c>
      <c r="AV194" s="38">
        <f>AV$150</f>
        <v>0</v>
      </c>
      <c r="AW194" s="38">
        <f>AW$150</f>
        <v>0</v>
      </c>
      <c r="AX194" s="38">
        <f>AX$150</f>
        <v>0</v>
      </c>
      <c r="AY194" s="38">
        <f>AY$150</f>
        <v>0</v>
      </c>
      <c r="BA194" s="44" t="str">
        <f t="shared" ca="1" si="50"/>
        <v>Calculations_SO</v>
      </c>
      <c r="BB194" s="1" t="str">
        <f t="shared" si="51"/>
        <v>TaxPools</v>
      </c>
      <c r="BC194" s="1" t="str">
        <f t="shared" si="52"/>
        <v>Capital allowances</v>
      </c>
      <c r="BD194" s="1" t="str">
        <f t="shared" si="53"/>
        <v>Special rates Pool</v>
      </c>
    </row>
    <row r="195" spans="5:56">
      <c r="E195" t="s">
        <v>171</v>
      </c>
      <c r="G195" t="str">
        <f t="shared" si="49"/>
        <v>£m nominal</v>
      </c>
      <c r="AU195" s="97">
        <f>AU$167*PCf</f>
        <v>0</v>
      </c>
      <c r="AV195" s="38">
        <f>AV$167*PCf</f>
        <v>0</v>
      </c>
      <c r="AW195" s="38">
        <f>AW$167*PCf</f>
        <v>0</v>
      </c>
      <c r="AX195" s="38">
        <f>AX$167*PCf</f>
        <v>0</v>
      </c>
      <c r="AY195" s="38">
        <f>AY$167*PCf</f>
        <v>0</v>
      </c>
      <c r="BA195" s="44" t="str">
        <f t="shared" ca="1" si="50"/>
        <v>Calculations_SO</v>
      </c>
      <c r="BB195" s="1" t="str">
        <f t="shared" si="51"/>
        <v>TaxPools</v>
      </c>
      <c r="BC195" s="1" t="str">
        <f t="shared" si="52"/>
        <v>Capital allowances</v>
      </c>
      <c r="BD195" s="1" t="str">
        <f t="shared" si="53"/>
        <v>Special rates Pool</v>
      </c>
    </row>
    <row r="196" spans="5:56">
      <c r="E196" t="s">
        <v>348</v>
      </c>
      <c r="G196" t="str">
        <f t="shared" si="49"/>
        <v>£m nominal</v>
      </c>
      <c r="AU196" s="96">
        <f>-AU195*AU$151</f>
        <v>0</v>
      </c>
      <c r="AV196" s="61">
        <f>-AV195*AV$151</f>
        <v>0</v>
      </c>
      <c r="AW196" s="61">
        <f>-AW195*AW$151</f>
        <v>0</v>
      </c>
      <c r="AX196" s="61">
        <f>-AX195*AX$151</f>
        <v>0</v>
      </c>
      <c r="AY196" s="61">
        <f>-AY195*AY$151</f>
        <v>0</v>
      </c>
      <c r="BA196" s="44" t="str">
        <f t="shared" ca="1" si="50"/>
        <v>Calculations_SO</v>
      </c>
      <c r="BB196" s="1" t="str">
        <f t="shared" si="51"/>
        <v>TaxPools</v>
      </c>
      <c r="BC196" s="1" t="str">
        <f t="shared" si="52"/>
        <v>Capital allowances</v>
      </c>
      <c r="BD196" s="1" t="str">
        <f t="shared" si="53"/>
        <v>Special rates Pool</v>
      </c>
    </row>
    <row r="197" spans="5:56">
      <c r="E197" t="s">
        <v>349</v>
      </c>
      <c r="G197" t="str">
        <f t="shared" si="49"/>
        <v>£m nominal</v>
      </c>
      <c r="AU197" s="97">
        <f>-AU203</f>
        <v>0</v>
      </c>
      <c r="AV197" s="38">
        <f>-AV203</f>
        <v>0</v>
      </c>
      <c r="AW197" s="38">
        <f>-AW203</f>
        <v>0</v>
      </c>
      <c r="AX197" s="38">
        <f>-AX203</f>
        <v>0</v>
      </c>
      <c r="AY197" s="38">
        <f>-AY203</f>
        <v>0</v>
      </c>
      <c r="BA197" s="44" t="str">
        <f t="shared" ca="1" si="50"/>
        <v>Calculations_SO</v>
      </c>
      <c r="BB197" s="1" t="str">
        <f t="shared" si="51"/>
        <v>TaxPools</v>
      </c>
      <c r="BC197" s="1" t="str">
        <f t="shared" si="52"/>
        <v>Capital allowances</v>
      </c>
      <c r="BD197" s="1" t="str">
        <f t="shared" si="53"/>
        <v>Special rates Pool</v>
      </c>
    </row>
    <row r="198" spans="5:56">
      <c r="E198" t="s">
        <v>178</v>
      </c>
      <c r="G198" t="str">
        <f t="shared" si="49"/>
        <v>£m nominal</v>
      </c>
      <c r="AU198" s="96">
        <f>SUM(AU193:AU197)</f>
        <v>0</v>
      </c>
      <c r="AV198" s="61">
        <f>SUM(AV193:AV197)</f>
        <v>0</v>
      </c>
      <c r="AW198" s="61">
        <f>SUM(AW193:AW197)</f>
        <v>0</v>
      </c>
      <c r="AX198" s="61">
        <f>SUM(AX193:AX197)</f>
        <v>0</v>
      </c>
      <c r="AY198" s="61">
        <f>SUM(AY193:AY197)</f>
        <v>0</v>
      </c>
      <c r="BA198" s="44" t="str">
        <f t="shared" ca="1" si="50"/>
        <v>Calculations_SO</v>
      </c>
      <c r="BB198" s="1" t="str">
        <f t="shared" si="51"/>
        <v>TaxPools</v>
      </c>
      <c r="BC198" s="1" t="str">
        <f t="shared" si="52"/>
        <v>Capital allowances</v>
      </c>
      <c r="BD198" s="1" t="str">
        <f t="shared" si="53"/>
        <v>Special rates Pool</v>
      </c>
    </row>
    <row r="199" spans="5:56">
      <c r="E199" t="s">
        <v>354</v>
      </c>
      <c r="G199" t="str">
        <f t="shared" si="49"/>
        <v>£m nominal</v>
      </c>
      <c r="AU199" s="96">
        <f>-AU198*AU$152</f>
        <v>0</v>
      </c>
      <c r="AV199" s="61">
        <f>-AV198*AV$152</f>
        <v>0</v>
      </c>
      <c r="AW199" s="61">
        <f>-AW198*AW$152</f>
        <v>0</v>
      </c>
      <c r="AX199" s="61">
        <f>-AX198*AX$152</f>
        <v>0</v>
      </c>
      <c r="AY199" s="61">
        <f>-AY198*AY$152</f>
        <v>0</v>
      </c>
      <c r="BA199" s="44" t="str">
        <f t="shared" ca="1" si="50"/>
        <v>Calculations_SO</v>
      </c>
      <c r="BB199" s="1" t="str">
        <f t="shared" si="51"/>
        <v>TaxPools</v>
      </c>
      <c r="BC199" s="1" t="str">
        <f t="shared" si="52"/>
        <v>Capital allowances</v>
      </c>
      <c r="BD199" s="1" t="str">
        <f t="shared" si="53"/>
        <v>Special rates Pool</v>
      </c>
    </row>
    <row r="200" spans="5:56">
      <c r="E200" t="s">
        <v>180</v>
      </c>
      <c r="G200" t="str">
        <f t="shared" si="49"/>
        <v>£m nominal</v>
      </c>
      <c r="AU200" s="96">
        <f>SUM(AU198:AU199)</f>
        <v>0</v>
      </c>
      <c r="AV200" s="61">
        <f>SUM(AV198:AV199)</f>
        <v>0</v>
      </c>
      <c r="AW200" s="61">
        <f>SUM(AW198:AW199)</f>
        <v>0</v>
      </c>
      <c r="AX200" s="61">
        <f>SUM(AX198:AX199)</f>
        <v>0</v>
      </c>
      <c r="AY200" s="61">
        <f>SUM(AY198:AY199)</f>
        <v>0</v>
      </c>
      <c r="BA200" s="44" t="str">
        <f t="shared" ca="1" si="50"/>
        <v>Calculations_SO</v>
      </c>
      <c r="BB200" s="1" t="str">
        <f t="shared" si="51"/>
        <v>TaxPools</v>
      </c>
      <c r="BC200" s="1" t="str">
        <f t="shared" si="52"/>
        <v>Capital allowances</v>
      </c>
      <c r="BD200" s="1" t="str">
        <f t="shared" si="53"/>
        <v>Special rates Pool</v>
      </c>
    </row>
    <row r="201" spans="5:56">
      <c r="AU201" s="3"/>
      <c r="AV201" s="3"/>
      <c r="AW201" s="3"/>
      <c r="AX201" s="3"/>
      <c r="AY201" s="3"/>
      <c r="BA201" s="44"/>
    </row>
    <row r="202" spans="5:56">
      <c r="E202" t="s">
        <v>152</v>
      </c>
      <c r="G202" t="str">
        <f t="shared" ref="G202:G207" si="54">nominal</f>
        <v>£m nominal</v>
      </c>
      <c r="AU202" s="97">
        <f>AT207</f>
        <v>0</v>
      </c>
      <c r="AV202" s="38">
        <f>AU207</f>
        <v>0</v>
      </c>
      <c r="AW202" s="38">
        <f>AV207</f>
        <v>0</v>
      </c>
      <c r="AX202" s="38">
        <f>AW207</f>
        <v>0</v>
      </c>
      <c r="AY202" s="38">
        <f>AX207</f>
        <v>0</v>
      </c>
      <c r="BA202" s="44" t="str">
        <f t="shared" ca="1" si="50"/>
        <v>Calculations_SO</v>
      </c>
      <c r="BB202" s="1" t="str">
        <f t="shared" ref="BB202:BB207" si="55">$A$130</f>
        <v>TaxPools</v>
      </c>
      <c r="BC202" s="1" t="str">
        <f t="shared" ref="BC202:BC207" si="56">$B$174</f>
        <v>Capital allowances</v>
      </c>
      <c r="BD202" s="1" t="str">
        <f t="shared" ref="BD202:BD207" si="57">$C$192</f>
        <v>Special rates Pool</v>
      </c>
    </row>
    <row r="203" spans="5:56">
      <c r="E203" t="s">
        <v>181</v>
      </c>
      <c r="G203" t="str">
        <f t="shared" si="54"/>
        <v>£m nominal</v>
      </c>
      <c r="AU203" s="97">
        <f>-AU202</f>
        <v>0</v>
      </c>
      <c r="AV203" s="38">
        <f>-AV202</f>
        <v>0</v>
      </c>
      <c r="AW203" s="38">
        <f>-AW202</f>
        <v>0</v>
      </c>
      <c r="AX203" s="38">
        <f>-AX202</f>
        <v>0</v>
      </c>
      <c r="AY203" s="38">
        <f>-AY202</f>
        <v>0</v>
      </c>
      <c r="BA203" s="44" t="str">
        <f t="shared" ca="1" si="50"/>
        <v>Calculations_SO</v>
      </c>
      <c r="BB203" s="1" t="str">
        <f t="shared" si="55"/>
        <v>TaxPools</v>
      </c>
      <c r="BC203" s="1" t="str">
        <f t="shared" si="56"/>
        <v>Capital allowances</v>
      </c>
      <c r="BD203" s="1" t="str">
        <f t="shared" si="57"/>
        <v>Special rates Pool</v>
      </c>
    </row>
    <row r="204" spans="5:56">
      <c r="E204" t="s">
        <v>353</v>
      </c>
      <c r="G204" t="str">
        <f t="shared" si="54"/>
        <v>£m nominal</v>
      </c>
      <c r="AU204" s="97">
        <f>-AU196</f>
        <v>0</v>
      </c>
      <c r="AV204" s="38">
        <f>-AV196</f>
        <v>0</v>
      </c>
      <c r="AW204" s="38">
        <f>-AW196</f>
        <v>0</v>
      </c>
      <c r="AX204" s="38">
        <f>-AX196</f>
        <v>0</v>
      </c>
      <c r="AY204" s="38">
        <f>-AY196</f>
        <v>0</v>
      </c>
      <c r="BA204" s="44" t="str">
        <f t="shared" ca="1" si="50"/>
        <v>Calculations_SO</v>
      </c>
      <c r="BB204" s="1" t="str">
        <f t="shared" si="55"/>
        <v>TaxPools</v>
      </c>
      <c r="BC204" s="1" t="str">
        <f t="shared" si="56"/>
        <v>Capital allowances</v>
      </c>
      <c r="BD204" s="1" t="str">
        <f t="shared" si="57"/>
        <v>Special rates Pool</v>
      </c>
    </row>
    <row r="205" spans="5:56">
      <c r="E205" t="s">
        <v>178</v>
      </c>
      <c r="G205" t="str">
        <f t="shared" si="54"/>
        <v>£m nominal</v>
      </c>
      <c r="AU205" s="96">
        <f>SUM(AU202:AU204)</f>
        <v>0</v>
      </c>
      <c r="AV205" s="61">
        <f>SUM(AV202:AV204)</f>
        <v>0</v>
      </c>
      <c r="AW205" s="61">
        <f>SUM(AW202:AW204)</f>
        <v>0</v>
      </c>
      <c r="AX205" s="61">
        <f>SUM(AX202:AX204)</f>
        <v>0</v>
      </c>
      <c r="AY205" s="61">
        <f>SUM(AY202:AY204)</f>
        <v>0</v>
      </c>
      <c r="BA205" s="44" t="str">
        <f t="shared" ca="1" si="50"/>
        <v>Calculations_SO</v>
      </c>
      <c r="BB205" s="1" t="str">
        <f t="shared" si="55"/>
        <v>TaxPools</v>
      </c>
      <c r="BC205" s="1" t="str">
        <f t="shared" si="56"/>
        <v>Capital allowances</v>
      </c>
      <c r="BD205" s="1" t="str">
        <f t="shared" si="57"/>
        <v>Special rates Pool</v>
      </c>
    </row>
    <row r="206" spans="5:56">
      <c r="E206" t="s">
        <v>354</v>
      </c>
      <c r="G206" t="str">
        <f t="shared" si="54"/>
        <v>£m nominal</v>
      </c>
      <c r="AU206" s="96">
        <f>AU205*-AU$153</f>
        <v>0</v>
      </c>
      <c r="AV206" s="61">
        <f>AV205*-AV$153</f>
        <v>0</v>
      </c>
      <c r="AW206" s="61">
        <f>AW205*-AW$153</f>
        <v>0</v>
      </c>
      <c r="AX206" s="61">
        <f>AX205*-AX$153</f>
        <v>0</v>
      </c>
      <c r="AY206" s="61">
        <f>AY205*-AY$153</f>
        <v>0</v>
      </c>
      <c r="BA206" s="44" t="str">
        <f t="shared" ca="1" si="50"/>
        <v>Calculations_SO</v>
      </c>
      <c r="BB206" s="1" t="str">
        <f t="shared" si="55"/>
        <v>TaxPools</v>
      </c>
      <c r="BC206" s="1" t="str">
        <f t="shared" si="56"/>
        <v>Capital allowances</v>
      </c>
      <c r="BD206" s="1" t="str">
        <f t="shared" si="57"/>
        <v>Special rates Pool</v>
      </c>
    </row>
    <row r="207" spans="5:56">
      <c r="E207" t="s">
        <v>182</v>
      </c>
      <c r="G207" t="str">
        <f t="shared" si="54"/>
        <v>£m nominal</v>
      </c>
      <c r="AU207" s="96">
        <f>MAX(SUM(AU205:AU206),0)</f>
        <v>0</v>
      </c>
      <c r="AV207" s="61">
        <f>MAX(SUM(AV205:AV206),0)</f>
        <v>0</v>
      </c>
      <c r="AW207" s="61">
        <f>MAX(SUM(AW205:AW206),0)</f>
        <v>0</v>
      </c>
      <c r="AX207" s="61">
        <f>MAX(SUM(AX205:AX206),0)</f>
        <v>0</v>
      </c>
      <c r="AY207" s="61">
        <f>MAX(SUM(AY205:AY206),0)</f>
        <v>0</v>
      </c>
      <c r="BA207" s="44" t="str">
        <f t="shared" ca="1" si="50"/>
        <v>Calculations_SO</v>
      </c>
      <c r="BB207" s="1" t="str">
        <f t="shared" si="55"/>
        <v>TaxPools</v>
      </c>
      <c r="BC207" s="1" t="str">
        <f t="shared" si="56"/>
        <v>Capital allowances</v>
      </c>
      <c r="BD207" s="1" t="str">
        <f t="shared" si="57"/>
        <v>Special rates Pool</v>
      </c>
    </row>
    <row r="208" spans="5:56">
      <c r="AU208" s="3"/>
      <c r="AV208" s="3"/>
      <c r="AW208" s="3"/>
      <c r="AX208" s="3"/>
      <c r="AY208" s="3"/>
      <c r="BA208" s="44"/>
    </row>
    <row r="209" spans="3:56" ht="17.5" thickBot="1">
      <c r="C209" s="17" t="s">
        <v>184</v>
      </c>
      <c r="AU209" s="3"/>
      <c r="AV209" s="3"/>
      <c r="AW209" s="3"/>
      <c r="AX209" s="3"/>
      <c r="AY209" s="3"/>
      <c r="BA209" s="44"/>
    </row>
    <row r="210" spans="3:56" ht="16.5" thickTop="1">
      <c r="E210" t="s">
        <v>152</v>
      </c>
      <c r="G210" t="str">
        <f t="shared" ref="G210:G214" si="58">nominal</f>
        <v>£m nominal</v>
      </c>
      <c r="AU210" s="96">
        <f>AU154*StartingBalance+AT214</f>
        <v>0</v>
      </c>
      <c r="AV210" s="61">
        <f ca="1">AV154*StartingBalance+AU214</f>
        <v>0</v>
      </c>
      <c r="AW210" s="61">
        <f ca="1">AW154*StartingBalance+AV214</f>
        <v>0</v>
      </c>
      <c r="AX210" s="61">
        <f ca="1">AX154*StartingBalance+AW214</f>
        <v>0</v>
      </c>
      <c r="AY210" s="61">
        <f ca="1">AY154*StartingBalance+AX214</f>
        <v>0</v>
      </c>
      <c r="BA210" s="44" t="str">
        <f t="shared" ca="1" si="50"/>
        <v>Calculations_SO</v>
      </c>
      <c r="BB210" s="1" t="str">
        <f>$A$130</f>
        <v>TaxPools</v>
      </c>
      <c r="BC210" s="1" t="str">
        <f>$B$174</f>
        <v>Capital allowances</v>
      </c>
      <c r="BD210" s="1" t="str">
        <f>$C$209</f>
        <v>Structures and Buildings pool</v>
      </c>
    </row>
    <row r="211" spans="3:56">
      <c r="E211" t="s">
        <v>172</v>
      </c>
      <c r="G211" t="str">
        <f t="shared" si="58"/>
        <v>£m nominal</v>
      </c>
      <c r="J211" t="s">
        <v>10</v>
      </c>
      <c r="AT211" s="148">
        <f t="shared" ref="AT211:AY211" si="59">AT155+(AT$168*PCf)</f>
        <v>0</v>
      </c>
      <c r="AU211" s="97">
        <f t="shared" si="59"/>
        <v>0</v>
      </c>
      <c r="AV211" s="38">
        <f t="shared" si="59"/>
        <v>0</v>
      </c>
      <c r="AW211" s="38">
        <f t="shared" si="59"/>
        <v>0</v>
      </c>
      <c r="AX211" s="38">
        <f t="shared" si="59"/>
        <v>0</v>
      </c>
      <c r="AY211" s="38">
        <f t="shared" si="59"/>
        <v>0</v>
      </c>
      <c r="BA211" s="44" t="str">
        <f t="shared" ca="1" si="50"/>
        <v>Calculations_SO</v>
      </c>
      <c r="BB211" s="1" t="str">
        <f>$A$130</f>
        <v>TaxPools</v>
      </c>
      <c r="BC211" s="1" t="str">
        <f>$B$174</f>
        <v>Capital allowances</v>
      </c>
      <c r="BD211" s="1" t="str">
        <f>$C$209</f>
        <v>Structures and Buildings pool</v>
      </c>
    </row>
    <row r="212" spans="3:56">
      <c r="E212" t="s">
        <v>178</v>
      </c>
      <c r="G212" t="str">
        <f t="shared" si="58"/>
        <v>£m nominal</v>
      </c>
      <c r="AU212" s="96">
        <f>SUM(AU210:AU211)</f>
        <v>0</v>
      </c>
      <c r="AV212" s="61">
        <f ca="1">SUM(AV210:AV211)</f>
        <v>0</v>
      </c>
      <c r="AW212" s="61">
        <f ca="1">SUM(AW210:AW211)</f>
        <v>0</v>
      </c>
      <c r="AX212" s="61">
        <f ca="1">SUM(AX210:AX211)</f>
        <v>0</v>
      </c>
      <c r="AY212" s="61">
        <f ca="1">SUM(AY210:AY211)</f>
        <v>0</v>
      </c>
      <c r="BA212" s="44" t="str">
        <f t="shared" ca="1" si="50"/>
        <v>Calculations_SO</v>
      </c>
      <c r="BB212" s="1" t="str">
        <f>$A$130</f>
        <v>TaxPools</v>
      </c>
      <c r="BC212" s="1" t="str">
        <f>$B$174</f>
        <v>Capital allowances</v>
      </c>
      <c r="BD212" s="1" t="str">
        <f>$C$209</f>
        <v>Structures and Buildings pool</v>
      </c>
    </row>
    <row r="213" spans="3:56">
      <c r="E213" t="s">
        <v>185</v>
      </c>
      <c r="G213" t="str">
        <f t="shared" si="58"/>
        <v>£m nominal</v>
      </c>
      <c r="AU213" s="96">
        <f ca="1">-SUM(OFFSET(AT211,,-MIN(YEAR(AT$4)-YEAR($AT$4),ROUNDUP(1/AU156-1,0))):AT211)/ROUND(1/AU156,0)</f>
        <v>0</v>
      </c>
      <c r="AV213" s="61">
        <f ca="1">-SUM(OFFSET(AU211,,-MIN(YEAR(AU$4)-YEAR($AT$4),ROUNDUP(1/AV156-1,0))):AU211)/ROUND(1/AV156,0)</f>
        <v>0</v>
      </c>
      <c r="AW213" s="61">
        <f ca="1">-SUM(OFFSET(AV211,,-MIN(YEAR(AV$4)-YEAR($AT$4),ROUNDUP(1/AW156-1,0))):AV211)/ROUND(1/AW156,0)</f>
        <v>0</v>
      </c>
      <c r="AX213" s="61">
        <f ca="1">-SUM(OFFSET(AW211,,-MIN(YEAR(AW$4)-YEAR($AT$4),ROUNDUP(1/AX156-1,0))):AW211)/ROUND(1/AX156,0)</f>
        <v>0</v>
      </c>
      <c r="AY213" s="61">
        <f ca="1">-SUM(OFFSET(AX211,,-MIN(YEAR(AX$4)-YEAR($AT$4),ROUNDUP(1/AY156-1,0))):AX211)/ROUND(1/AY156,0)</f>
        <v>0</v>
      </c>
      <c r="AZ213" s="74"/>
      <c r="BA213" s="44" t="str">
        <f t="shared" ca="1" si="50"/>
        <v>Calculations_SO</v>
      </c>
      <c r="BB213" s="1" t="str">
        <f>$A$130</f>
        <v>TaxPools</v>
      </c>
      <c r="BC213" s="1" t="str">
        <f>$B$174</f>
        <v>Capital allowances</v>
      </c>
      <c r="BD213" s="1" t="str">
        <f>$C$209</f>
        <v>Structures and Buildings pool</v>
      </c>
    </row>
    <row r="214" spans="3:56">
      <c r="E214" t="s">
        <v>180</v>
      </c>
      <c r="G214" t="str">
        <f t="shared" si="58"/>
        <v>£m nominal</v>
      </c>
      <c r="AU214" s="96">
        <f ca="1">SUM(AU212:AU213)</f>
        <v>0</v>
      </c>
      <c r="AV214" s="61">
        <f ca="1">SUM(AV212:AV213)</f>
        <v>0</v>
      </c>
      <c r="AW214" s="61">
        <f ca="1">SUM(AW212:AW213)</f>
        <v>0</v>
      </c>
      <c r="AX214" s="61">
        <f ca="1">SUM(AX212:AX213)</f>
        <v>0</v>
      </c>
      <c r="AY214" s="61">
        <f ca="1">SUM(AY212:AY213)</f>
        <v>0</v>
      </c>
      <c r="BA214" s="44" t="str">
        <f t="shared" ca="1" si="50"/>
        <v>Calculations_SO</v>
      </c>
      <c r="BB214" s="1" t="str">
        <f>$A$130</f>
        <v>TaxPools</v>
      </c>
      <c r="BC214" s="1" t="str">
        <f>$B$174</f>
        <v>Capital allowances</v>
      </c>
      <c r="BD214" s="1" t="str">
        <f>$C$209</f>
        <v>Structures and Buildings pool</v>
      </c>
    </row>
    <row r="215" spans="3:56">
      <c r="AU215" s="3"/>
      <c r="AV215" s="3"/>
      <c r="AW215" s="3"/>
      <c r="AX215" s="3"/>
      <c r="AY215" s="3"/>
      <c r="BA215" s="44"/>
    </row>
    <row r="216" spans="3:56" ht="17.5" thickBot="1">
      <c r="C216" s="17" t="s">
        <v>186</v>
      </c>
      <c r="AU216" s="3"/>
      <c r="AV216" s="3"/>
      <c r="AW216" s="3"/>
      <c r="AX216" s="3"/>
      <c r="AY216" s="3"/>
      <c r="BA216" s="44"/>
    </row>
    <row r="217" spans="3:56" ht="16.5" thickTop="1">
      <c r="E217" t="s">
        <v>152</v>
      </c>
      <c r="G217" t="str">
        <f t="shared" ref="G217:G221" si="60">nominal</f>
        <v>£m nominal</v>
      </c>
      <c r="AU217" s="96">
        <f>AU157*StartingBalance+AT221</f>
        <v>0</v>
      </c>
      <c r="AV217" s="61">
        <f ca="1">AV157*StartingBalance+AU221</f>
        <v>0</v>
      </c>
      <c r="AW217" s="61">
        <f ca="1">AW157*StartingBalance+AV221</f>
        <v>0</v>
      </c>
      <c r="AX217" s="61">
        <f ca="1">AX157*StartingBalance+AW221</f>
        <v>0</v>
      </c>
      <c r="AY217" s="61">
        <f ca="1">AY157*StartingBalance+AX221</f>
        <v>0</v>
      </c>
      <c r="BA217" s="44" t="str">
        <f t="shared" ca="1" si="50"/>
        <v>Calculations_SO</v>
      </c>
      <c r="BB217" s="1" t="str">
        <f>$A$130</f>
        <v>TaxPools</v>
      </c>
      <c r="BC217" s="1" t="str">
        <f>$B$174</f>
        <v>Capital allowances</v>
      </c>
      <c r="BD217" s="1" t="str">
        <f>$C$216</f>
        <v>Deferred revenue expenditure</v>
      </c>
    </row>
    <row r="218" spans="3:56">
      <c r="E218" t="s">
        <v>173</v>
      </c>
      <c r="G218" t="str">
        <f t="shared" si="60"/>
        <v>£m nominal</v>
      </c>
      <c r="J218" t="s">
        <v>10</v>
      </c>
      <c r="AT218" s="148">
        <f t="shared" ref="AT218:AY218" si="61">SUM(AT158,AT169)*PCf</f>
        <v>0</v>
      </c>
      <c r="AU218" s="97">
        <f t="shared" si="61"/>
        <v>0</v>
      </c>
      <c r="AV218" s="38">
        <f t="shared" si="61"/>
        <v>0</v>
      </c>
      <c r="AW218" s="38">
        <f t="shared" si="61"/>
        <v>0</v>
      </c>
      <c r="AX218" s="38">
        <f t="shared" si="61"/>
        <v>0</v>
      </c>
      <c r="AY218" s="38">
        <f t="shared" si="61"/>
        <v>0</v>
      </c>
      <c r="BA218" s="44" t="str">
        <f t="shared" ca="1" si="50"/>
        <v>Calculations_SO</v>
      </c>
      <c r="BB218" s="1" t="str">
        <f>$A$130</f>
        <v>TaxPools</v>
      </c>
      <c r="BC218" s="1" t="str">
        <f>$B$174</f>
        <v>Capital allowances</v>
      </c>
      <c r="BD218" s="1" t="str">
        <f>$C$216</f>
        <v>Deferred revenue expenditure</v>
      </c>
    </row>
    <row r="219" spans="3:56">
      <c r="E219" t="s">
        <v>178</v>
      </c>
      <c r="G219" t="str">
        <f t="shared" si="60"/>
        <v>£m nominal</v>
      </c>
      <c r="AU219" s="96">
        <f>SUM(AU217:AU218)</f>
        <v>0</v>
      </c>
      <c r="AV219" s="61">
        <f ca="1">SUM(AV217:AV218)</f>
        <v>0</v>
      </c>
      <c r="AW219" s="61">
        <f ca="1">SUM(AW217:AW218)</f>
        <v>0</v>
      </c>
      <c r="AX219" s="61">
        <f ca="1">SUM(AX217:AX218)</f>
        <v>0</v>
      </c>
      <c r="AY219" s="61">
        <f ca="1">SUM(AY217:AY218)</f>
        <v>0</v>
      </c>
      <c r="BA219" s="44" t="str">
        <f t="shared" ca="1" si="50"/>
        <v>Calculations_SO</v>
      </c>
      <c r="BB219" s="1" t="str">
        <f>$A$130</f>
        <v>TaxPools</v>
      </c>
      <c r="BC219" s="1" t="str">
        <f>$B$174</f>
        <v>Capital allowances</v>
      </c>
      <c r="BD219" s="1" t="str">
        <f>$C$216</f>
        <v>Deferred revenue expenditure</v>
      </c>
    </row>
    <row r="220" spans="3:56">
      <c r="E220" t="s">
        <v>187</v>
      </c>
      <c r="G220" t="str">
        <f t="shared" si="60"/>
        <v>£m nominal</v>
      </c>
      <c r="AU220" s="96">
        <f ca="1">-SUM(OFFSET(AT218,,-MIN(YEAR(AT$4)-YEAR($AT$4),ROUND(1/AU159-1,0))):AT218)/ROUND(1/AU159,0)</f>
        <v>0</v>
      </c>
      <c r="AV220" s="61">
        <f ca="1">-SUM(OFFSET(AU218,,-MIN(YEAR(AU$4)-YEAR($AT$4),ROUND(1/AV159-1,0))):AU218)/ROUND(1/AV159,0)</f>
        <v>0</v>
      </c>
      <c r="AW220" s="61">
        <f ca="1">-SUM(OFFSET(AV218,,-MIN(YEAR(AV$4)-YEAR($AT$4),ROUND(1/AW159-1,0))):AV218)/ROUND(1/AW159,0)</f>
        <v>0</v>
      </c>
      <c r="AX220" s="61">
        <f ca="1">-SUM(OFFSET(AW218,,-MIN(YEAR(AW$4)-YEAR($AT$4),ROUND(1/AX159-1,0))):AW218)/ROUND(1/AX159,0)</f>
        <v>0</v>
      </c>
      <c r="AY220" s="61">
        <f ca="1">-SUM(OFFSET(AX218,,-MIN(YEAR(AX$4)-YEAR($AT$4),ROUND(1/AY159-1,0))):AX218)/ROUND(1/AY159,0)</f>
        <v>0</v>
      </c>
      <c r="BA220" s="44" t="str">
        <f t="shared" ca="1" si="50"/>
        <v>Calculations_SO</v>
      </c>
      <c r="BB220" s="1" t="str">
        <f>$A$130</f>
        <v>TaxPools</v>
      </c>
      <c r="BC220" s="1" t="str">
        <f>$B$174</f>
        <v>Capital allowances</v>
      </c>
      <c r="BD220" s="1" t="str">
        <f>$C$216</f>
        <v>Deferred revenue expenditure</v>
      </c>
    </row>
    <row r="221" spans="3:56">
      <c r="E221" t="s">
        <v>180</v>
      </c>
      <c r="G221" t="str">
        <f t="shared" si="60"/>
        <v>£m nominal</v>
      </c>
      <c r="AU221" s="96">
        <f ca="1">SUM(AU219:AU220)</f>
        <v>0</v>
      </c>
      <c r="AV221" s="61">
        <f ca="1">SUM(AV219:AV220)</f>
        <v>0</v>
      </c>
      <c r="AW221" s="61">
        <f ca="1">SUM(AW219:AW220)</f>
        <v>0</v>
      </c>
      <c r="AX221" s="61">
        <f ca="1">SUM(AX219:AX220)</f>
        <v>0</v>
      </c>
      <c r="AY221" s="61">
        <f ca="1">SUM(AY219:AY220)</f>
        <v>0</v>
      </c>
      <c r="BA221" s="44" t="str">
        <f t="shared" ca="1" si="50"/>
        <v>Calculations_SO</v>
      </c>
      <c r="BB221" s="1" t="str">
        <f>$A$130</f>
        <v>TaxPools</v>
      </c>
      <c r="BC221" s="1" t="str">
        <f>$B$174</f>
        <v>Capital allowances</v>
      </c>
      <c r="BD221" s="1" t="str">
        <f>$C$216</f>
        <v>Deferred revenue expenditure</v>
      </c>
    </row>
    <row r="222" spans="3:56">
      <c r="AU222" s="3"/>
      <c r="AV222" s="3"/>
      <c r="AW222" s="3"/>
      <c r="AX222" s="3"/>
      <c r="AY222" s="3"/>
      <c r="BA222" s="44"/>
    </row>
    <row r="223" spans="3:56" ht="17.5" thickBot="1">
      <c r="C223" s="17" t="s">
        <v>188</v>
      </c>
      <c r="AU223" s="3"/>
      <c r="AV223" s="3"/>
      <c r="AW223" s="3"/>
      <c r="AX223" s="3"/>
      <c r="AY223" s="3"/>
      <c r="BA223" s="44"/>
    </row>
    <row r="224" spans="3:56" ht="16.5" thickTop="1">
      <c r="E224" t="s">
        <v>189</v>
      </c>
      <c r="G224" t="str">
        <f t="shared" ref="G224:G228" si="62">nominal</f>
        <v>£m nominal</v>
      </c>
      <c r="AU224" s="96">
        <f>-SUM(AU182,AU189)</f>
        <v>32.038877665879383</v>
      </c>
      <c r="AV224" s="61">
        <f t="shared" ref="AV224:AY224" si="63">-SUM(AV182,AV189)</f>
        <v>37.19919877635099</v>
      </c>
      <c r="AW224" s="61">
        <f t="shared" si="63"/>
        <v>40.834201447181243</v>
      </c>
      <c r="AX224" s="61">
        <f t="shared" si="63"/>
        <v>41.997598641760192</v>
      </c>
      <c r="AY224" s="61">
        <f t="shared" si="63"/>
        <v>41.451352393279606</v>
      </c>
      <c r="BA224" s="44" t="str">
        <f t="shared" ca="1" si="50"/>
        <v>Calculations_SO</v>
      </c>
      <c r="BB224" s="1" t="str">
        <f>$A$130</f>
        <v>TaxPools</v>
      </c>
      <c r="BC224" s="1" t="str">
        <f>$B$174</f>
        <v>Capital allowances</v>
      </c>
      <c r="BD224" s="1" t="str">
        <f>$C$223</f>
        <v>Total capital allowances</v>
      </c>
    </row>
    <row r="225" spans="1:56">
      <c r="E225" t="s">
        <v>190</v>
      </c>
      <c r="G225" t="str">
        <f t="shared" si="62"/>
        <v>£m nominal</v>
      </c>
      <c r="AU225" s="96">
        <f>-SUM(AU199,AU206)</f>
        <v>0</v>
      </c>
      <c r="AV225" s="61">
        <f t="shared" ref="AV225:AY225" si="64">-SUM(AV199,AV206)</f>
        <v>0</v>
      </c>
      <c r="AW225" s="61">
        <f t="shared" si="64"/>
        <v>0</v>
      </c>
      <c r="AX225" s="61">
        <f t="shared" si="64"/>
        <v>0</v>
      </c>
      <c r="AY225" s="61">
        <f t="shared" si="64"/>
        <v>0</v>
      </c>
      <c r="BA225" s="44" t="str">
        <f t="shared" ca="1" si="50"/>
        <v>Calculations_SO</v>
      </c>
      <c r="BB225" s="1" t="str">
        <f>$A$130</f>
        <v>TaxPools</v>
      </c>
      <c r="BC225" s="1" t="str">
        <f>$B$174</f>
        <v>Capital allowances</v>
      </c>
      <c r="BD225" s="1" t="str">
        <f>$C$223</f>
        <v>Total capital allowances</v>
      </c>
    </row>
    <row r="226" spans="1:56">
      <c r="E226" t="s">
        <v>185</v>
      </c>
      <c r="G226" t="str">
        <f t="shared" si="62"/>
        <v>£m nominal</v>
      </c>
      <c r="AU226" s="97">
        <f ca="1">-AU213</f>
        <v>0</v>
      </c>
      <c r="AV226" s="38">
        <f t="shared" ref="AV226:AY226" ca="1" si="65">-AV213</f>
        <v>0</v>
      </c>
      <c r="AW226" s="38">
        <f t="shared" ca="1" si="65"/>
        <v>0</v>
      </c>
      <c r="AX226" s="38">
        <f t="shared" ca="1" si="65"/>
        <v>0</v>
      </c>
      <c r="AY226" s="38">
        <f t="shared" ca="1" si="65"/>
        <v>0</v>
      </c>
      <c r="BA226" s="44" t="str">
        <f t="shared" ca="1" si="50"/>
        <v>Calculations_SO</v>
      </c>
      <c r="BB226" s="1" t="str">
        <f>$A$130</f>
        <v>TaxPools</v>
      </c>
      <c r="BC226" s="1" t="str">
        <f>$B$174</f>
        <v>Capital allowances</v>
      </c>
      <c r="BD226" s="1" t="str">
        <f>$C$223</f>
        <v>Total capital allowances</v>
      </c>
    </row>
    <row r="227" spans="1:56">
      <c r="E227" t="s">
        <v>187</v>
      </c>
      <c r="G227" t="str">
        <f t="shared" si="62"/>
        <v>£m nominal</v>
      </c>
      <c r="AU227" s="97">
        <f ca="1">-AU220</f>
        <v>0</v>
      </c>
      <c r="AV227" s="38">
        <f t="shared" ref="AV227:AY227" ca="1" si="66">-AV220</f>
        <v>0</v>
      </c>
      <c r="AW227" s="38">
        <f t="shared" ca="1" si="66"/>
        <v>0</v>
      </c>
      <c r="AX227" s="38">
        <f t="shared" ca="1" si="66"/>
        <v>0</v>
      </c>
      <c r="AY227" s="38">
        <f t="shared" ca="1" si="66"/>
        <v>0</v>
      </c>
      <c r="BA227" s="44" t="str">
        <f t="shared" ca="1" si="50"/>
        <v>Calculations_SO</v>
      </c>
      <c r="BB227" s="1" t="str">
        <f>$A$130</f>
        <v>TaxPools</v>
      </c>
      <c r="BC227" s="1" t="str">
        <f>$B$174</f>
        <v>Capital allowances</v>
      </c>
      <c r="BD227" s="1" t="str">
        <f>$C$223</f>
        <v>Total capital allowances</v>
      </c>
    </row>
    <row r="228" spans="1:56">
      <c r="E228" t="s">
        <v>176</v>
      </c>
      <c r="G228" t="str">
        <f t="shared" si="62"/>
        <v>£m nominal</v>
      </c>
      <c r="AU228" s="141">
        <f ca="1">SUM(AU224:AU227)</f>
        <v>32.038877665879383</v>
      </c>
      <c r="AV228" s="65">
        <f t="shared" ref="AV228:AY228" ca="1" si="67">SUM(AV224:AV227)</f>
        <v>37.19919877635099</v>
      </c>
      <c r="AW228" s="65">
        <f t="shared" ca="1" si="67"/>
        <v>40.834201447181243</v>
      </c>
      <c r="AX228" s="65">
        <f t="shared" ca="1" si="67"/>
        <v>41.997598641760192</v>
      </c>
      <c r="AY228" s="65">
        <f t="shared" ca="1" si="67"/>
        <v>41.451352393279606</v>
      </c>
      <c r="BA228" s="44" t="str">
        <f t="shared" ca="1" si="50"/>
        <v>Calculations_SO</v>
      </c>
      <c r="BB228" s="1" t="str">
        <f>$A$130</f>
        <v>TaxPools</v>
      </c>
      <c r="BC228" s="1" t="str">
        <f>$B$174</f>
        <v>Capital allowances</v>
      </c>
      <c r="BD228" s="1" t="str">
        <f>$C$223</f>
        <v>Total capital allowances</v>
      </c>
    </row>
    <row r="229" spans="1:56"/>
    <row r="230" spans="1:56"/>
    <row r="231" spans="1:56" ht="20" thickBot="1">
      <c r="A231" s="15" t="s">
        <v>277</v>
      </c>
    </row>
    <row r="232" spans="1:56" ht="18" thickTop="1" thickBot="1">
      <c r="B232" s="17" t="s">
        <v>400</v>
      </c>
      <c r="AP232" s="1"/>
      <c r="AQ232" s="1"/>
      <c r="AR232" s="1"/>
      <c r="AS232" s="1"/>
      <c r="AT232" s="100"/>
      <c r="AU232" s="1"/>
      <c r="AV232" s="1"/>
      <c r="AW232" s="1"/>
      <c r="AX232" s="1"/>
      <c r="AY232" s="1"/>
    </row>
    <row r="233" spans="1:56" ht="16.5" outlineLevel="1" thickTop="1">
      <c r="D233" s="1" t="str" cm="1">
        <f t="array" aca="1" ref="D233" ca="1">IFERROR(MID(_xlfn.FORMULATEXT(I233),FIND("=",_xlfn.FORMULATEXT(I233))+1,FIND("!",_xlfn.FORMULATEXT(I233))-2),MID(_xlfn.FORMULATEXT(INDEX(L233:AV233,MATCH(FALSE,ISBLANK(L233:AV233),0))),FIND("=",_xlfn.FORMULATEXT(INDEX(L233:AV233,MATCH(FALSE,ISBLANK(L233:AV233),0))))+1,FIND("!",_xlfn.FORMULATEXT(INDEX(L233:AV233,MATCH(FALSE,ISBLANK(L233:AV233),0))))-2))</f>
        <v>Transform_TO</v>
      </c>
      <c r="E233" t="s">
        <v>85</v>
      </c>
      <c r="G233" t="s">
        <v>33</v>
      </c>
      <c r="AU233" s="99">
        <f>Transform_TO!AU231</f>
        <v>0.25</v>
      </c>
      <c r="AV233" s="70">
        <f>Transform_TO!AV231</f>
        <v>0.25</v>
      </c>
      <c r="AW233" s="70">
        <f>Transform_TO!AW231</f>
        <v>0.25</v>
      </c>
      <c r="AX233" s="70">
        <f>Transform_TO!AX231</f>
        <v>0.25</v>
      </c>
      <c r="AY233" s="70">
        <f>Transform_TO!AY231</f>
        <v>0.25</v>
      </c>
    </row>
    <row r="234" spans="1:56" outlineLevel="1">
      <c r="D234" s="1" t="str" cm="1">
        <f t="array" aca="1" ref="D234" ca="1">IFERROR(MID(_xlfn.FORMULATEXT(I234),FIND("=",_xlfn.FORMULATEXT(I234))+1,FIND("!",_xlfn.FORMULATEXT(I234))-2),MID(_xlfn.FORMULATEXT(INDEX(L234:AV234,MATCH(FALSE,ISBLANK(L234:AV234),0))),FIND("=",_xlfn.FORMULATEXT(INDEX(L234:AV234,MATCH(FALSE,ISBLANK(L234:AV234),0))))+1,FIND("!",_xlfn.FORMULATEXT(INDEX(L234:AV234,MATCH(FALSE,ISBLANK(L234:AV234),0))))-2))</f>
        <v>Transform_SO</v>
      </c>
      <c r="E234" t="s">
        <v>257</v>
      </c>
      <c r="G234" t="str">
        <f>price_label</f>
        <v>£m 23/24 prices</v>
      </c>
      <c r="AU234" s="95">
        <f>Transform_SO!AU56</f>
        <v>0</v>
      </c>
      <c r="AV234" s="69">
        <f>Transform_SO!AV56</f>
        <v>0</v>
      </c>
      <c r="AW234" s="69">
        <f>Transform_SO!AW56</f>
        <v>0</v>
      </c>
      <c r="AX234" s="69">
        <f>Transform_SO!AX56</f>
        <v>0</v>
      </c>
      <c r="AY234" s="69">
        <f>Transform_SO!AY56</f>
        <v>0</v>
      </c>
    </row>
    <row r="235" spans="1:56" outlineLevel="1">
      <c r="D235" s="1" t="str" cm="1">
        <f t="array" aca="1" ref="D235" ca="1">IFERROR(MID(_xlfn.FORMULATEXT(I235),FIND("=",_xlfn.FORMULATEXT(I235))+1,FIND("!",_xlfn.FORMULATEXT(I235))-2),MID(_xlfn.FORMULATEXT(INDEX(L235:AV235,MATCH(FALSE,ISBLANK(L235:AV235),0))),FIND("=",_xlfn.FORMULATEXT(INDEX(L235:AV235,MATCH(FALSE,ISBLANK(L235:AV235),0))))+1,FIND("!",_xlfn.FORMULATEXT(INDEX(L235:AV235,MATCH(FALSE,ISBLANK(L235:AV235),0))))-2))</f>
        <v>Revenue_SO</v>
      </c>
      <c r="E235" t="s">
        <v>191</v>
      </c>
      <c r="G235" t="str">
        <f>price_label</f>
        <v>£m 23/24 prices</v>
      </c>
      <c r="AU235" s="95">
        <f>Revenue_SO!AU13</f>
        <v>333.17858293113864</v>
      </c>
      <c r="AV235" s="69">
        <f>Revenue_SO!AV13</f>
        <v>296.1924330918356</v>
      </c>
      <c r="AW235" s="69">
        <f>Revenue_SO!AW13</f>
        <v>279.32673994102441</v>
      </c>
      <c r="AX235" s="69">
        <f>Revenue_SO!AX13</f>
        <v>270.98193204584919</v>
      </c>
      <c r="AY235" s="69">
        <f>Revenue_SO!AY13</f>
        <v>264.569089656757</v>
      </c>
      <c r="BA235" s="44"/>
    </row>
    <row r="236" spans="1:56" outlineLevel="1">
      <c r="D236" s="1" t="str" cm="1">
        <f t="array" aca="1" ref="D236" ca="1">IFERROR(MID(_xlfn.FORMULATEXT(I236),FIND("=",_xlfn.FORMULATEXT(I236))+1,FIND("!",_xlfn.FORMULATEXT(I236))-2),MID(_xlfn.FORMULATEXT(INDEX(L236:AV236,MATCH(FALSE,ISBLANK(L236:AV236),0))),FIND("=",_xlfn.FORMULATEXT(INDEX(L236:AV236,MATCH(FALSE,ISBLANK(L236:AV236),0))))+1,FIND("!",_xlfn.FORMULATEXT(INDEX(L236:AV236,MATCH(FALSE,ISBLANK(L236:AV236),0))))-2))</f>
        <v>Finance</v>
      </c>
      <c r="E236" t="s">
        <v>323</v>
      </c>
      <c r="G236" t="str">
        <f t="shared" ref="G236:G237" si="68">nominal</f>
        <v>£m nominal</v>
      </c>
      <c r="AU236" s="95">
        <f>Finance!AU122</f>
        <v>-4.6033514881089683</v>
      </c>
      <c r="AV236" s="69">
        <f ca="1">Finance!AV122</f>
        <v>-5.1204535243596432</v>
      </c>
      <c r="AW236" s="69">
        <f ca="1">Finance!AW122</f>
        <v>-5.7242626278926956</v>
      </c>
      <c r="AX236" s="69">
        <f ca="1">Finance!AX122</f>
        <v>-6.1850919970773033</v>
      </c>
      <c r="AY236" s="69">
        <f ca="1">Finance!AY122</f>
        <v>-6.5122563620321055</v>
      </c>
      <c r="BA236" s="44"/>
    </row>
    <row r="237" spans="1:56" outlineLevel="1">
      <c r="D237" s="1" t="str" cm="1">
        <f t="array" aca="1" ref="D237" ca="1">IFERROR(MID(_xlfn.FORMULATEXT(I237),FIND("=",_xlfn.FORMULATEXT(I237))+1,FIND("!",_xlfn.FORMULATEXT(I237))-2),MID(_xlfn.FORMULATEXT(INDEX(L237:AV237,MATCH(FALSE,ISBLANK(L237:AV237),0))),FIND("=",_xlfn.FORMULATEXT(INDEX(L237:AV237,MATCH(FALSE,ISBLANK(L237:AV237),0))))+1,FIND("!",_xlfn.FORMULATEXT(INDEX(L237:AV237,MATCH(FALSE,ISBLANK(L237:AV237),0))))-2))</f>
        <v>Finance</v>
      </c>
      <c r="E237" t="s">
        <v>322</v>
      </c>
      <c r="G237" t="str">
        <f t="shared" si="68"/>
        <v>£m nominal</v>
      </c>
      <c r="AU237" s="95">
        <f>Finance!AU123</f>
        <v>-0.6961524861681393</v>
      </c>
      <c r="AV237" s="69">
        <f ca="1">Finance!AV123</f>
        <v>-0.71556152498663417</v>
      </c>
      <c r="AW237" s="69">
        <f ca="1">Finance!AW123</f>
        <v>-0.78069454578462905</v>
      </c>
      <c r="AX237" s="69">
        <f ca="1">Finance!AX123</f>
        <v>-0.8179844477351973</v>
      </c>
      <c r="AY237" s="69">
        <f ca="1">Finance!AY123</f>
        <v>-0.847773393692696</v>
      </c>
      <c r="BA237" s="44"/>
    </row>
    <row r="238" spans="1:56" outlineLevel="1">
      <c r="D238" s="1" t="s">
        <v>297</v>
      </c>
      <c r="E238" t="s">
        <v>175</v>
      </c>
      <c r="G238" t="str">
        <f>price_label</f>
        <v>£m 23/24 prices</v>
      </c>
      <c r="AU238" s="95">
        <f>AU172</f>
        <v>283.867305012624</v>
      </c>
      <c r="AV238" s="69">
        <f>AV172</f>
        <v>240.19925207938462</v>
      </c>
      <c r="AW238" s="69">
        <f>AW172</f>
        <v>225.67581251624802</v>
      </c>
      <c r="AX238" s="69">
        <f>AX172</f>
        <v>222.3134775386921</v>
      </c>
      <c r="AY238" s="69">
        <f>AY172</f>
        <v>219.35003658371792</v>
      </c>
      <c r="BA238" s="44"/>
    </row>
    <row r="239" spans="1:56" outlineLevel="1">
      <c r="D239" s="1" t="s">
        <v>297</v>
      </c>
      <c r="E239" t="s">
        <v>176</v>
      </c>
      <c r="G239" t="str">
        <f>nominal</f>
        <v>£m nominal</v>
      </c>
      <c r="AU239" s="95">
        <f ca="1">AU228</f>
        <v>32.038877665879383</v>
      </c>
      <c r="AV239" s="69">
        <f ca="1">AV228</f>
        <v>37.19919877635099</v>
      </c>
      <c r="AW239" s="69">
        <f ca="1">AW228</f>
        <v>40.834201447181243</v>
      </c>
      <c r="AX239" s="69">
        <f ca="1">AX228</f>
        <v>41.997598641760192</v>
      </c>
      <c r="AY239" s="69">
        <f ca="1">AY228</f>
        <v>41.451352393279606</v>
      </c>
      <c r="BA239" s="44"/>
    </row>
    <row r="240" spans="1:56" outlineLevel="1">
      <c r="D240" s="1" t="str" cm="1">
        <f t="array" aca="1" ref="D240" ca="1">IFERROR(MID(_xlfn.FORMULATEXT(I240),FIND("=",_xlfn.FORMULATEXT(I240))+1,FIND("!",_xlfn.FORMULATEXT(I240))-2),MID(_xlfn.FORMULATEXT(INDEX(L240:AV240,MATCH(FALSE,ISBLANK(L240:AV240),0))),FIND("=",_xlfn.FORMULATEXT(INDEX(L240:AV240,MATCH(FALSE,ISBLANK(L240:AV240),0))))+1,FIND("!",_xlfn.FORMULATEXT(INDEX(L240:AV240,MATCH(FALSE,ISBLANK(L240:AV240),0))))-2))</f>
        <v>Transform_SO</v>
      </c>
      <c r="E240" t="s">
        <v>28</v>
      </c>
      <c r="G240" t="str">
        <f>price_label</f>
        <v>£m 23/24 prices</v>
      </c>
      <c r="AU240" s="95">
        <f>Transform_SO!AU115</f>
        <v>0</v>
      </c>
      <c r="AV240" s="69">
        <f>Transform_SO!AV115</f>
        <v>0</v>
      </c>
      <c r="AW240" s="69">
        <f>Transform_SO!AW115</f>
        <v>0</v>
      </c>
      <c r="AX240" s="69">
        <f>Transform_SO!AX115</f>
        <v>0</v>
      </c>
      <c r="AY240" s="69">
        <f>Transform_SO!AY115</f>
        <v>0</v>
      </c>
    </row>
    <row r="241" spans="1:55" outlineLevel="1">
      <c r="D241" s="1" t="str" cm="1">
        <f t="array" aca="1" ref="D241" ca="1">IFERROR(MID(_xlfn.FORMULATEXT(I241),FIND("=",_xlfn.FORMULATEXT(I241))+1,FIND("!",_xlfn.FORMULATEXT(I241))-2),MID(_xlfn.FORMULATEXT(INDEX(L241:AV241,MATCH(FALSE,ISBLANK(L241:AV241),0))),FIND("=",_xlfn.FORMULATEXT(INDEX(L241:AV241,MATCH(FALSE,ISBLANK(L241:AV241),0))))+1,FIND("!",_xlfn.FORMULATEXT(INDEX(L241:AV241,MATCH(FALSE,ISBLANK(L241:AV241),0))))-2))</f>
        <v>Transform_SO</v>
      </c>
      <c r="E241" t="s">
        <v>68</v>
      </c>
      <c r="G241" t="str">
        <f>price_label</f>
        <v>£m 23/24 prices</v>
      </c>
      <c r="AU241" s="95">
        <f>Transform_SO!AU119</f>
        <v>0.56486029875569144</v>
      </c>
      <c r="AV241" s="69">
        <f>Transform_SO!AV119</f>
        <v>0.59784612311514829</v>
      </c>
      <c r="AW241" s="69">
        <f>Transform_SO!AW119</f>
        <v>0.58184657618466684</v>
      </c>
      <c r="AX241" s="69">
        <f>Transform_SO!AX119</f>
        <v>0.53015029963199412</v>
      </c>
      <c r="AY241" s="69">
        <f>Transform_SO!AY119</f>
        <v>0.52199747355478721</v>
      </c>
    </row>
    <row r="242" spans="1:55" outlineLevel="1">
      <c r="A242" s="1"/>
      <c r="D242" s="1" t="str" cm="1">
        <f t="array" aca="1" ref="D242" ca="1">IFERROR(MID(_xlfn.FORMULATEXT(I242),FIND("=",_xlfn.FORMULATEXT(I242))+1,FIND("!",_xlfn.FORMULATEXT(I242))-2),MID(_xlfn.FORMULATEXT(INDEX(L242:AV242,MATCH(FALSE,ISBLANK(L242:AV242),0))),FIND("=",_xlfn.FORMULATEXT(INDEX(L242:AV242,MATCH(FALSE,ISBLANK(L242:AV242),0))))+1,FIND("!",_xlfn.FORMULATEXT(INDEX(L242:AV242,MATCH(FALSE,ISBLANK(L242:AV242),0))))-2))</f>
        <v>Transform_TO</v>
      </c>
      <c r="E242" t="s">
        <v>236</v>
      </c>
      <c r="G242" t="str">
        <f>Transform_TO!G171</f>
        <v>scalar</v>
      </c>
      <c r="AU242" s="101">
        <f>Transform_TO!AU171</f>
        <v>1.0902530663834287</v>
      </c>
      <c r="AV242" s="71">
        <f>Transform_TO!AV171</f>
        <v>1.1133444029171624</v>
      </c>
      <c r="AW242" s="71">
        <f>Transform_TO!AW171</f>
        <v>1.1368604024486282</v>
      </c>
      <c r="AX242" s="71">
        <f>Transform_TO!AX171</f>
        <v>1.1609444338602923</v>
      </c>
      <c r="AY242" s="71">
        <f>Transform_TO!AY171</f>
        <v>1.1846925189308175</v>
      </c>
    </row>
    <row r="243" spans="1:55" outlineLevel="1">
      <c r="D243" s="1" t="s">
        <v>309</v>
      </c>
      <c r="E243" t="s">
        <v>162</v>
      </c>
      <c r="G243" t="str">
        <f>G117</f>
        <v>£m 23/24 prices</v>
      </c>
      <c r="AU243" s="95">
        <f>AU117</f>
        <v>168.87276865567517</v>
      </c>
      <c r="AV243" s="69">
        <f>AV117</f>
        <v>181.78992299246539</v>
      </c>
      <c r="AW243" s="69">
        <f>AW117</f>
        <v>191.30118368132031</v>
      </c>
      <c r="AX243" s="69">
        <f>AX117</f>
        <v>192.97813231971128</v>
      </c>
      <c r="AY243" s="69">
        <f>AY117</f>
        <v>187.98081650928606</v>
      </c>
      <c r="BA243" s="44"/>
    </row>
    <row r="244" spans="1:55" outlineLevel="1">
      <c r="A244" s="1"/>
      <c r="D244" s="1" t="str" cm="1">
        <f t="array" aca="1" ref="D244" ca="1">IFERROR(MID(_xlfn.FORMULATEXT(I244),FIND("=",_xlfn.FORMULATEXT(I244))+1,FIND("!",_xlfn.FORMULATEXT(I244))-2),MID(_xlfn.FORMULATEXT(INDEX(L244:AV244,MATCH(FALSE,ISBLANK(L244:AV244),0))),FIND("=",_xlfn.FORMULATEXT(INDEX(L244:AV244,MATCH(FALSE,ISBLANK(L244:AV244),0))))+1,FIND("!",_xlfn.FORMULATEXT(INDEX(L244:AV244,MATCH(FALSE,ISBLANK(L244:AV244),0))))-2))</f>
        <v>Transform_SO</v>
      </c>
      <c r="E244" t="s">
        <v>24</v>
      </c>
      <c r="G244" t="str">
        <f>nominal</f>
        <v>£m nominal</v>
      </c>
      <c r="AU244" s="95">
        <f>Transform_SO!AU112</f>
        <v>0</v>
      </c>
      <c r="AV244" s="69">
        <f>Transform_SO!AV112</f>
        <v>0</v>
      </c>
      <c r="AW244" s="69">
        <f>Transform_SO!AW112</f>
        <v>0</v>
      </c>
      <c r="AX244" s="69">
        <f>Transform_SO!AX112</f>
        <v>0</v>
      </c>
      <c r="AY244" s="69">
        <f>Transform_SO!AY112</f>
        <v>0</v>
      </c>
    </row>
    <row r="245" spans="1:55" outlineLevel="1">
      <c r="A245" s="1"/>
      <c r="D245" s="1" t="str" cm="1">
        <f t="array" aca="1" ref="D245" ca="1">IFERROR(MID(_xlfn.FORMULATEXT(I245),FIND("=",_xlfn.FORMULATEXT(I245))+1,FIND("!",_xlfn.FORMULATEXT(I245))-2),MID(_xlfn.FORMULATEXT(INDEX(L245:AV245,MATCH(FALSE,ISBLANK(L245:AV245),0))),FIND("=",_xlfn.FORMULATEXT(INDEX(L245:AV245,MATCH(FALSE,ISBLANK(L245:AV245),0))))+1,FIND("!",_xlfn.FORMULATEXT(INDEX(L245:AV245,MATCH(FALSE,ISBLANK(L245:AV245),0))))-2))</f>
        <v>Transform_SO</v>
      </c>
      <c r="E245" t="s">
        <v>67</v>
      </c>
      <c r="G245" t="s">
        <v>33</v>
      </c>
      <c r="AU245" s="99">
        <f>Transform_SO!AU118</f>
        <v>0.6</v>
      </c>
      <c r="AV245" s="70">
        <f>Transform_SO!AV118</f>
        <v>0.6</v>
      </c>
      <c r="AW245" s="70">
        <f>Transform_SO!AW118</f>
        <v>0.6</v>
      </c>
      <c r="AX245" s="70">
        <f>Transform_SO!AX118</f>
        <v>0.6</v>
      </c>
      <c r="AY245" s="70">
        <f>Transform_SO!AY118</f>
        <v>0.6</v>
      </c>
    </row>
    <row r="246" spans="1:55" outlineLevel="1">
      <c r="D246" s="1" t="str" cm="1">
        <f t="array" aca="1" ref="D246" ca="1">IFERROR(MID(_xlfn.FORMULATEXT(I246),FIND("=",_xlfn.FORMULATEXT(I246))+1,FIND("!",_xlfn.FORMULATEXT(I246))-2),MID(_xlfn.FORMULATEXT(INDEX(L246:AV246,MATCH(FALSE,ISBLANK(L246:AV246),0))),FIND("=",_xlfn.FORMULATEXT(INDEX(L246:AV246,MATCH(FALSE,ISBLANK(L246:AV246),0))))+1,FIND("!",_xlfn.FORMULATEXT(INDEX(L246:AV246,MATCH(FALSE,ISBLANK(L246:AV246),0))))-2))</f>
        <v>Transform_SO</v>
      </c>
      <c r="E246" t="s">
        <v>25</v>
      </c>
      <c r="G246" t="str">
        <f t="shared" ref="G246:G249" si="69">nominal</f>
        <v>£m nominal</v>
      </c>
      <c r="AU246" s="95">
        <f>Transform_SO!AU113</f>
        <v>0</v>
      </c>
      <c r="AV246" s="69">
        <f>Transform_SO!AV113</f>
        <v>0</v>
      </c>
      <c r="AW246" s="69">
        <f>Transform_SO!AW113</f>
        <v>0</v>
      </c>
      <c r="AX246" s="69">
        <f>Transform_SO!AX113</f>
        <v>0</v>
      </c>
      <c r="AY246" s="69">
        <f>Transform_SO!AY113</f>
        <v>0</v>
      </c>
    </row>
    <row r="247" spans="1:55" outlineLevel="1">
      <c r="D247" s="1" t="str" cm="1">
        <f t="array" aca="1" ref="D247" ca="1">IFERROR(MID(_xlfn.FORMULATEXT(I247),FIND("=",_xlfn.FORMULATEXT(I247))+1,FIND("!",_xlfn.FORMULATEXT(I247))-2),MID(_xlfn.FORMULATEXT(INDEX(L247:AV247,MATCH(FALSE,ISBLANK(L247:AV247),0))),FIND("=",_xlfn.FORMULATEXT(INDEX(L247:AV247,MATCH(FALSE,ISBLANK(L247:AV247),0))))+1,FIND("!",_xlfn.FORMULATEXT(INDEX(L247:AV247,MATCH(FALSE,ISBLANK(L247:AV247),0))))-2))</f>
        <v>Transform_TO</v>
      </c>
      <c r="E247" t="s">
        <v>247</v>
      </c>
      <c r="G247" t="str">
        <f t="shared" si="69"/>
        <v>£m nominal</v>
      </c>
      <c r="I247" s="69">
        <f>Transform_TO!I232</f>
        <v>5</v>
      </c>
    </row>
    <row r="248" spans="1:55" outlineLevel="1">
      <c r="D248" s="1" t="str" cm="1">
        <f t="array" aca="1" ref="D248" ca="1">IFERROR(MID(_xlfn.FORMULATEXT(I248),FIND("=",_xlfn.FORMULATEXT(I248))+1,FIND("!",_xlfn.FORMULATEXT(I248))-2),MID(_xlfn.FORMULATEXT(INDEX(L248:AV248,MATCH(FALSE,ISBLANK(L248:AV248),0))),FIND("=",_xlfn.FORMULATEXT(INDEX(L248:AV248,MATCH(FALSE,ISBLANK(L248:AV248),0))))+1,FIND("!",_xlfn.FORMULATEXT(INDEX(L248:AV248,MATCH(FALSE,ISBLANK(L248:AV248),0))))-2))</f>
        <v>Transform_TO</v>
      </c>
      <c r="E248" t="s">
        <v>246</v>
      </c>
      <c r="G248" t="s">
        <v>33</v>
      </c>
      <c r="I248" s="70">
        <f>Transform_TO!I233</f>
        <v>0.5</v>
      </c>
    </row>
    <row r="249" spans="1:55" outlineLevel="1">
      <c r="D249" s="1" t="str" cm="1">
        <f t="array" aca="1" ref="D249" ca="1">IFERROR(MID(_xlfn.FORMULATEXT(I249),FIND("=",_xlfn.FORMULATEXT(I249))+1,FIND("!",_xlfn.FORMULATEXT(I249))-2),MID(_xlfn.FORMULATEXT(INDEX(L249:AV249,MATCH(FALSE,ISBLANK(L249:AV249),0))),FIND("=",_xlfn.FORMULATEXT(INDEX(L249:AV249,MATCH(FALSE,ISBLANK(L249:AV249),0))))+1,FIND("!",_xlfn.FORMULATEXT(INDEX(L249:AV249,MATCH(FALSE,ISBLANK(L249:AV249),0))))-2))</f>
        <v>Transform_SO</v>
      </c>
      <c r="E249" t="s">
        <v>31</v>
      </c>
      <c r="G249" t="str">
        <f t="shared" si="69"/>
        <v>£m nominal</v>
      </c>
      <c r="AU249" s="95">
        <f>Transform_SO!AU116</f>
        <v>0</v>
      </c>
    </row>
    <row r="250" spans="1:55" outlineLevel="1">
      <c r="A250" s="1"/>
      <c r="D250" s="1" t="str" cm="1">
        <f t="array" aca="1" ref="D250" ca="1">IFERROR(MID(_xlfn.FORMULATEXT(I250),FIND("=",_xlfn.FORMULATEXT(I250))+1,FIND("!",_xlfn.FORMULATEXT(I250))-2),MID(_xlfn.FORMULATEXT(INDEX(L250:AV250,MATCH(FALSE,ISBLANK(L250:AV250),0))),FIND("=",_xlfn.FORMULATEXT(INDEX(L250:AV250,MATCH(FALSE,ISBLANK(L250:AV250),0))))+1,FIND("!",_xlfn.FORMULATEXT(INDEX(L250:AV250,MATCH(FALSE,ISBLANK(L250:AV250),0))))-2))</f>
        <v>Transform_SO</v>
      </c>
      <c r="E250" t="s">
        <v>26</v>
      </c>
      <c r="G250" t="str">
        <f>nominal</f>
        <v>£m nominal</v>
      </c>
      <c r="AU250" s="95">
        <f>Transform_SO!AU114</f>
        <v>0</v>
      </c>
      <c r="AV250" s="69">
        <f>Transform_SO!AV114</f>
        <v>0</v>
      </c>
      <c r="AW250" s="69">
        <f>Transform_SO!AW114</f>
        <v>0</v>
      </c>
      <c r="AX250" s="69">
        <f>Transform_SO!AX114</f>
        <v>0</v>
      </c>
      <c r="AY250" s="69">
        <f>Transform_SO!AY114</f>
        <v>0</v>
      </c>
    </row>
    <row r="251" spans="1:55">
      <c r="BA251" s="44"/>
    </row>
    <row r="252" spans="1:55" ht="17.5" thickBot="1">
      <c r="B252" s="17" t="s">
        <v>422</v>
      </c>
      <c r="BA252" s="44"/>
    </row>
    <row r="253" spans="1:55" ht="16.5" thickTop="1">
      <c r="E253" t="s">
        <v>209</v>
      </c>
      <c r="G253" t="s">
        <v>21</v>
      </c>
      <c r="AU253" s="106">
        <f>1/(1-AU233)</f>
        <v>1.3333333333333333</v>
      </c>
      <c r="AV253" s="63">
        <f>1/(1-AV233)</f>
        <v>1.3333333333333333</v>
      </c>
      <c r="AW253" s="63">
        <f>1/(1-AW233)</f>
        <v>1.3333333333333333</v>
      </c>
      <c r="AX253" s="63">
        <f>1/(1-AX233)</f>
        <v>1.3333333333333333</v>
      </c>
      <c r="AY253" s="63">
        <f>1/(1-AY233)</f>
        <v>1.3333333333333333</v>
      </c>
      <c r="BA253" s="44" t="str">
        <f t="shared" ref="BA253" ca="1" si="70">$A$1</f>
        <v>Calculations_SO</v>
      </c>
      <c r="BB253" s="1" t="str">
        <f t="shared" ref="BB253" si="71">$A$231</f>
        <v>Tax</v>
      </c>
      <c r="BC253" s="1" t="str">
        <f>$B$252</f>
        <v>Input calculation</v>
      </c>
    </row>
    <row r="254" spans="1:55">
      <c r="BA254" s="44"/>
    </row>
    <row r="255" spans="1:55" ht="17.5" thickBot="1">
      <c r="B255" s="17" t="s">
        <v>226</v>
      </c>
      <c r="BA255" s="44"/>
    </row>
    <row r="256" spans="1:55" ht="16.5" thickTop="1">
      <c r="E256" t="s">
        <v>649</v>
      </c>
      <c r="G256" t="str">
        <f t="shared" ref="G256:G262" si="72">nominal</f>
        <v>£m nominal</v>
      </c>
      <c r="AU256" s="97">
        <f>AU235*PCf</f>
        <v>365.02192396342951</v>
      </c>
      <c r="AV256" s="38">
        <f>AV235*PCf</f>
        <v>331.43236936009066</v>
      </c>
      <c r="AW256" s="38">
        <f>AW235*PCf</f>
        <v>319.19178867821324</v>
      </c>
      <c r="AX256" s="38">
        <f>AX235*PCf</f>
        <v>316.1802223659966</v>
      </c>
      <c r="AY256" s="38">
        <f>AY235*PCf</f>
        <v>315.27814470540102</v>
      </c>
      <c r="BA256" s="44" t="str">
        <f t="shared" ref="BA256:BA321" ca="1" si="73">$A$1</f>
        <v>Calculations_SO</v>
      </c>
      <c r="BB256" s="1" t="str">
        <f t="shared" ref="BB256:BB262" si="74">$A$231</f>
        <v>Tax</v>
      </c>
      <c r="BC256" s="1" t="str">
        <f t="shared" ref="BC256:BC262" si="75">$B$255</f>
        <v>Tax base</v>
      </c>
    </row>
    <row r="257" spans="2:55">
      <c r="E257" t="s">
        <v>650</v>
      </c>
      <c r="G257" t="str">
        <f t="shared" si="72"/>
        <v>£m nominal</v>
      </c>
      <c r="AU257" s="97">
        <f>-AU234*PCf</f>
        <v>0</v>
      </c>
      <c r="AV257" s="38">
        <f>-AV234*PCf</f>
        <v>0</v>
      </c>
      <c r="AW257" s="38">
        <f>-AW234*PCf</f>
        <v>0</v>
      </c>
      <c r="AX257" s="38">
        <f>-AX234*PCf</f>
        <v>0</v>
      </c>
      <c r="AY257" s="38">
        <f>-AY234*PCf</f>
        <v>0</v>
      </c>
      <c r="BA257" s="44" t="str">
        <f t="shared" ca="1" si="73"/>
        <v>Calculations_SO</v>
      </c>
      <c r="BB257" s="1" t="str">
        <f t="shared" si="74"/>
        <v>Tax</v>
      </c>
      <c r="BC257" s="1" t="str">
        <f t="shared" si="75"/>
        <v>Tax base</v>
      </c>
    </row>
    <row r="258" spans="2:55">
      <c r="E258" t="s">
        <v>651</v>
      </c>
      <c r="G258" t="str">
        <f t="shared" si="72"/>
        <v>£m nominal</v>
      </c>
      <c r="AU258" s="97">
        <f t="shared" ref="AU258:AY259" si="76">AU236</f>
        <v>-4.6033514881089683</v>
      </c>
      <c r="AV258" s="38">
        <f t="shared" ca="1" si="76"/>
        <v>-5.1204535243596432</v>
      </c>
      <c r="AW258" s="38">
        <f t="shared" ca="1" si="76"/>
        <v>-5.7242626278926956</v>
      </c>
      <c r="AX258" s="38">
        <f t="shared" ca="1" si="76"/>
        <v>-6.1850919970773033</v>
      </c>
      <c r="AY258" s="38">
        <f t="shared" ca="1" si="76"/>
        <v>-6.5122563620321055</v>
      </c>
      <c r="BA258" s="44" t="str">
        <f t="shared" ca="1" si="73"/>
        <v>Calculations_SO</v>
      </c>
      <c r="BB258" s="1" t="str">
        <f t="shared" si="74"/>
        <v>Tax</v>
      </c>
      <c r="BC258" s="1" t="str">
        <f t="shared" si="75"/>
        <v>Tax base</v>
      </c>
    </row>
    <row r="259" spans="2:55">
      <c r="E259" t="s">
        <v>652</v>
      </c>
      <c r="G259" t="str">
        <f t="shared" si="72"/>
        <v>£m nominal</v>
      </c>
      <c r="AU259" s="97">
        <f t="shared" si="76"/>
        <v>-0.6961524861681393</v>
      </c>
      <c r="AV259" s="38">
        <f t="shared" ca="1" si="76"/>
        <v>-0.71556152498663417</v>
      </c>
      <c r="AW259" s="38">
        <f t="shared" ca="1" si="76"/>
        <v>-0.78069454578462905</v>
      </c>
      <c r="AX259" s="38">
        <f t="shared" ca="1" si="76"/>
        <v>-0.8179844477351973</v>
      </c>
      <c r="AY259" s="38">
        <f t="shared" ca="1" si="76"/>
        <v>-0.847773393692696</v>
      </c>
      <c r="BA259" s="44" t="str">
        <f t="shared" ca="1" si="73"/>
        <v>Calculations_SO</v>
      </c>
      <c r="BB259" s="1" t="str">
        <f t="shared" si="74"/>
        <v>Tax</v>
      </c>
      <c r="BC259" s="1" t="str">
        <f t="shared" si="75"/>
        <v>Tax base</v>
      </c>
    </row>
    <row r="260" spans="2:55">
      <c r="E260" t="s">
        <v>653</v>
      </c>
      <c r="G260" t="str">
        <f t="shared" si="72"/>
        <v>£m nominal</v>
      </c>
      <c r="AU260" s="97">
        <f>-AU238*PCf</f>
        <v>-310.99775055900705</v>
      </c>
      <c r="AV260" s="38">
        <f>-AV238*PCf</f>
        <v>-268.77731616630734</v>
      </c>
      <c r="AW260" s="38">
        <f>-AW238*PCf</f>
        <v>-257.88388993362815</v>
      </c>
      <c r="AX260" s="38">
        <f>-AX238*PCf</f>
        <v>-259.39413831933507</v>
      </c>
      <c r="AY260" s="38">
        <f>-AY238*PCf</f>
        <v>-261.39210995848924</v>
      </c>
      <c r="BA260" s="44" t="str">
        <f t="shared" ca="1" si="73"/>
        <v>Calculations_SO</v>
      </c>
      <c r="BB260" s="1" t="str">
        <f t="shared" si="74"/>
        <v>Tax</v>
      </c>
      <c r="BC260" s="1" t="str">
        <f t="shared" si="75"/>
        <v>Tax base</v>
      </c>
    </row>
    <row r="261" spans="2:55">
      <c r="E261" t="s">
        <v>654</v>
      </c>
      <c r="G261" t="str">
        <f t="shared" si="72"/>
        <v>£m nominal</v>
      </c>
      <c r="AU261" s="97">
        <f ca="1">-AU239</f>
        <v>-32.038877665879383</v>
      </c>
      <c r="AV261" s="38">
        <f ca="1">-AV239</f>
        <v>-37.19919877635099</v>
      </c>
      <c r="AW261" s="38">
        <f ca="1">-AW239</f>
        <v>-40.834201447181243</v>
      </c>
      <c r="AX261" s="38">
        <f ca="1">-AX239</f>
        <v>-41.997598641760192</v>
      </c>
      <c r="AY261" s="38">
        <f ca="1">-AY239</f>
        <v>-41.451352393279606</v>
      </c>
      <c r="BA261" s="44" t="str">
        <f t="shared" ca="1" si="73"/>
        <v>Calculations_SO</v>
      </c>
      <c r="BB261" s="1" t="str">
        <f t="shared" si="74"/>
        <v>Tax</v>
      </c>
      <c r="BC261" s="1" t="str">
        <f t="shared" si="75"/>
        <v>Tax base</v>
      </c>
    </row>
    <row r="262" spans="2:55">
      <c r="E262" t="s">
        <v>210</v>
      </c>
      <c r="G262" t="str">
        <f t="shared" si="72"/>
        <v>£m nominal</v>
      </c>
      <c r="AU262" s="141">
        <f ca="1">SUM(AU256:AU261)</f>
        <v>16.685791764265971</v>
      </c>
      <c r="AV262" s="65">
        <f ca="1">SUM(AV256:AV261)</f>
        <v>19.619839368086069</v>
      </c>
      <c r="AW262" s="65">
        <f ca="1">SUM(AW256:AW261)</f>
        <v>13.968740123726519</v>
      </c>
      <c r="AX262" s="65">
        <f ca="1">SUM(AX256:AX261)</f>
        <v>7.7854089600888869</v>
      </c>
      <c r="AY262" s="65">
        <f ca="1">SUM(AY256:AY261)</f>
        <v>5.0746525979073311</v>
      </c>
      <c r="BA262" s="44" t="str">
        <f t="shared" ca="1" si="73"/>
        <v>Calculations_SO</v>
      </c>
      <c r="BB262" s="1" t="str">
        <f t="shared" si="74"/>
        <v>Tax</v>
      </c>
      <c r="BC262" s="1" t="str">
        <f t="shared" si="75"/>
        <v>Tax base</v>
      </c>
    </row>
    <row r="263" spans="2:55">
      <c r="B263" s="1"/>
      <c r="AU263" s="3"/>
      <c r="BA263" s="44"/>
    </row>
    <row r="264" spans="2:55" ht="17.5" thickBot="1">
      <c r="B264" s="17" t="s">
        <v>211</v>
      </c>
      <c r="BA264" s="44"/>
    </row>
    <row r="265" spans="2:55" ht="16.5" thickTop="1">
      <c r="E265" t="s">
        <v>327</v>
      </c>
      <c r="G265" t="s">
        <v>783</v>
      </c>
      <c r="AU265" s="96" t="b">
        <f>ABS(AU240)&gt;AU241</f>
        <v>0</v>
      </c>
      <c r="AV265" s="61" t="b">
        <f>ABS(AV240)&gt;AV241</f>
        <v>0</v>
      </c>
      <c r="AW265" s="61" t="b">
        <f>ABS(AW240)&gt;AW241</f>
        <v>0</v>
      </c>
      <c r="AX265" s="61" t="b">
        <f>ABS(AX240)&gt;AX241</f>
        <v>0</v>
      </c>
      <c r="AY265" s="61" t="b">
        <f>ABS(AY240)&gt;AY241</f>
        <v>0</v>
      </c>
      <c r="BA265" s="44" t="str">
        <f t="shared" ca="1" si="73"/>
        <v>Calculations_SO</v>
      </c>
      <c r="BB265" s="1" t="str">
        <f>$A$231</f>
        <v>Tax</v>
      </c>
      <c r="BC265" s="1" t="str">
        <f>$B$264</f>
        <v>Tax trigger calculations</v>
      </c>
    </row>
    <row r="266" spans="2:55">
      <c r="E266" t="s">
        <v>68</v>
      </c>
      <c r="G266" t="str">
        <f>price_label</f>
        <v>£m 23/24 prices</v>
      </c>
      <c r="AU266" s="96">
        <f>IF(AU240&gt;0,-AU241,((AU240&lt;0)*AU241))</f>
        <v>0</v>
      </c>
      <c r="AV266" s="61">
        <f>IF(AV240&gt;0,-AV241,((AV240&lt;0)*AV241))</f>
        <v>0</v>
      </c>
      <c r="AW266" s="61">
        <f>IF(AW240&gt;0,-AW241,((AW240&lt;0)*AW241))</f>
        <v>0</v>
      </c>
      <c r="AX266" s="61">
        <f>IF(AX240&gt;0,-AX241,((AX240&lt;0)*AX241))</f>
        <v>0</v>
      </c>
      <c r="AY266" s="61">
        <f>IF(AY240&gt;0,-AY241,((AY240&lt;0)*AY241))</f>
        <v>0</v>
      </c>
      <c r="BA266" s="44" t="str">
        <f t="shared" ca="1" si="73"/>
        <v>Calculations_SO</v>
      </c>
      <c r="BB266" s="1" t="str">
        <f>$A$231</f>
        <v>Tax</v>
      </c>
      <c r="BC266" s="1" t="str">
        <f>$B$264</f>
        <v>Tax trigger calculations</v>
      </c>
    </row>
    <row r="267" spans="2:55">
      <c r="E267" t="s">
        <v>212</v>
      </c>
      <c r="G267" t="str">
        <f>price_label</f>
        <v>£m 23/24 prices</v>
      </c>
      <c r="AU267" s="96">
        <f>SUM(AU240,AU266)*AU265</f>
        <v>0</v>
      </c>
      <c r="AV267" s="61">
        <f>SUM(AV240,AV266)*AV265</f>
        <v>0</v>
      </c>
      <c r="AW267" s="61">
        <f>SUM(AW240,AW266)*AW265</f>
        <v>0</v>
      </c>
      <c r="AX267" s="61">
        <f>SUM(AX240,AX266)*AX265</f>
        <v>0</v>
      </c>
      <c r="AY267" s="61">
        <f>SUM(AY240,AY266)*AY265</f>
        <v>0</v>
      </c>
      <c r="BA267" s="44" t="str">
        <f t="shared" ca="1" si="73"/>
        <v>Calculations_SO</v>
      </c>
      <c r="BB267" s="1" t="str">
        <f>$A$231</f>
        <v>Tax</v>
      </c>
      <c r="BC267" s="1" t="str">
        <f>$B$264</f>
        <v>Tax trigger calculations</v>
      </c>
    </row>
    <row r="268" spans="2:55">
      <c r="BA268" s="44"/>
    </row>
    <row r="269" spans="2:55">
      <c r="E269" t="s">
        <v>213</v>
      </c>
      <c r="G269" t="str">
        <f t="shared" ref="G269:G273" si="77">nominal</f>
        <v>£m nominal</v>
      </c>
      <c r="AU269" s="96">
        <f>AU267*PCf*((1-AU$233)/AU$233)</f>
        <v>0</v>
      </c>
      <c r="AV269" s="61">
        <f>AV267*PCf*((1-AV$233)/AV$233)</f>
        <v>0</v>
      </c>
      <c r="AW269" s="61">
        <f>AW267*PCf*((1-AW$233)/AW$233)</f>
        <v>0</v>
      </c>
      <c r="AX269" s="61">
        <f>AX267*PCf*((1-AX$233)/AX$233)</f>
        <v>0</v>
      </c>
      <c r="AY269" s="61">
        <f>AY267*PCf*((1-AY$233)/AY$233)</f>
        <v>0</v>
      </c>
      <c r="BA269" s="44" t="str">
        <f t="shared" ca="1" si="73"/>
        <v>Calculations_SO</v>
      </c>
      <c r="BB269" s="1" t="str">
        <f>$A$231</f>
        <v>Tax</v>
      </c>
      <c r="BC269" s="1" t="str">
        <f>$B$264</f>
        <v>Tax trigger calculations</v>
      </c>
    </row>
    <row r="270" spans="2:55">
      <c r="E270" t="s">
        <v>534</v>
      </c>
      <c r="G270" t="str">
        <f t="shared" si="77"/>
        <v>£m nominal</v>
      </c>
      <c r="AU270" s="96">
        <f>AU240*PCf*((1-AU$233)/AU$233)</f>
        <v>0</v>
      </c>
      <c r="AV270" s="61">
        <f>AV240*PCf*((1-AV$233)/AV$233)</f>
        <v>0</v>
      </c>
      <c r="AW270" s="61">
        <f>AW240*PCf*((1-AW$233)/AW$233)</f>
        <v>0</v>
      </c>
      <c r="AX270" s="61">
        <f>AX240*PCf*((1-AX$233)/AX$233)</f>
        <v>0</v>
      </c>
      <c r="AY270" s="61">
        <f>AY240*PCf*((1-AY$233)/AY$233)</f>
        <v>0</v>
      </c>
      <c r="BA270" s="44" t="str">
        <f t="shared" ca="1" si="73"/>
        <v>Calculations_SO</v>
      </c>
      <c r="BB270" s="1" t="str">
        <f>$A$231</f>
        <v>Tax</v>
      </c>
      <c r="BC270" s="1" t="str">
        <f>$B$264</f>
        <v>Tax trigger calculations</v>
      </c>
    </row>
    <row r="271" spans="2:55">
      <c r="BA271" s="44"/>
    </row>
    <row r="272" spans="2:55">
      <c r="E272" t="s">
        <v>535</v>
      </c>
      <c r="G272" t="str">
        <f t="shared" si="77"/>
        <v>£m nominal</v>
      </c>
      <c r="AU272" s="96">
        <f t="shared" ref="AU272:AY273" ca="1" si="78">SUM(AU$262,AU269)</f>
        <v>16.685791764265971</v>
      </c>
      <c r="AV272" s="61">
        <f t="shared" ca="1" si="78"/>
        <v>19.619839368086069</v>
      </c>
      <c r="AW272" s="61">
        <f t="shared" ca="1" si="78"/>
        <v>13.968740123726519</v>
      </c>
      <c r="AX272" s="61">
        <f t="shared" ca="1" si="78"/>
        <v>7.7854089600888869</v>
      </c>
      <c r="AY272" s="61">
        <f t="shared" ca="1" si="78"/>
        <v>5.0746525979073311</v>
      </c>
      <c r="BA272" s="44" t="str">
        <f t="shared" ca="1" si="73"/>
        <v>Calculations_SO</v>
      </c>
      <c r="BB272" s="1" t="str">
        <f>$A$231</f>
        <v>Tax</v>
      </c>
      <c r="BC272" s="1" t="str">
        <f>$B$264</f>
        <v>Tax trigger calculations</v>
      </c>
    </row>
    <row r="273" spans="2:56">
      <c r="E273" t="s">
        <v>536</v>
      </c>
      <c r="G273" t="str">
        <f t="shared" si="77"/>
        <v>£m nominal</v>
      </c>
      <c r="AU273" s="96">
        <f t="shared" ca="1" si="78"/>
        <v>16.685791764265971</v>
      </c>
      <c r="AV273" s="61">
        <f t="shared" ca="1" si="78"/>
        <v>19.619839368086069</v>
      </c>
      <c r="AW273" s="61">
        <f t="shared" ca="1" si="78"/>
        <v>13.968740123726519</v>
      </c>
      <c r="AX273" s="61">
        <f t="shared" ca="1" si="78"/>
        <v>7.7854089600888869</v>
      </c>
      <c r="AY273" s="61">
        <f t="shared" ca="1" si="78"/>
        <v>5.0746525979073311</v>
      </c>
      <c r="BA273" s="44" t="str">
        <f t="shared" ca="1" si="73"/>
        <v>Calculations_SO</v>
      </c>
      <c r="BB273" s="1" t="str">
        <f>$A$231</f>
        <v>Tax</v>
      </c>
      <c r="BC273" s="1" t="str">
        <f>$B$264</f>
        <v>Tax trigger calculations</v>
      </c>
    </row>
    <row r="274" spans="2:56"/>
    <row r="275" spans="2:56" ht="17.5" thickBot="1">
      <c r="B275" s="17" t="s">
        <v>214</v>
      </c>
      <c r="BA275" s="44"/>
    </row>
    <row r="276" spans="2:56" ht="16.5" thickTop="1">
      <c r="E276" t="s">
        <v>397</v>
      </c>
      <c r="G276" t="str">
        <f t="shared" ref="G276" si="79">nominal</f>
        <v>£m nominal</v>
      </c>
      <c r="AU276" s="96">
        <f>AU243*AU242</f>
        <v>184.11405385550921</v>
      </c>
      <c r="AV276" s="61">
        <f>AV243*AV242</f>
        <v>202.39479327040331</v>
      </c>
      <c r="AW276" s="61">
        <f>AW243*AW242</f>
        <v>217.48274066884474</v>
      </c>
      <c r="AX276" s="61">
        <f>AX243*AX242</f>
        <v>224.03688857332378</v>
      </c>
      <c r="AY276" s="61">
        <f>AY243*AY242</f>
        <v>222.6994670210579</v>
      </c>
      <c r="BA276" s="44" t="str">
        <f t="shared" ca="1" si="73"/>
        <v>Calculations_SO</v>
      </c>
      <c r="BB276" s="1" t="str">
        <f>$A$231</f>
        <v>Tax</v>
      </c>
      <c r="BC276" s="1" t="str">
        <f>$B$275</f>
        <v>Tax clawback calculations</v>
      </c>
    </row>
    <row r="277" spans="2:56">
      <c r="E277" t="s">
        <v>215</v>
      </c>
      <c r="G277" t="s">
        <v>33</v>
      </c>
      <c r="AU277" s="144">
        <f>AU244/AU276</f>
        <v>0</v>
      </c>
      <c r="AV277" s="62">
        <f>AV244/AV276</f>
        <v>0</v>
      </c>
      <c r="AW277" s="62">
        <f>AW244/AW276</f>
        <v>0</v>
      </c>
      <c r="AX277" s="62">
        <f>AX244/AX276</f>
        <v>0</v>
      </c>
      <c r="AY277" s="62">
        <f>AY244/AY276</f>
        <v>0</v>
      </c>
      <c r="BA277" s="44" t="str">
        <f t="shared" ca="1" si="73"/>
        <v>Calculations_SO</v>
      </c>
      <c r="BB277" s="1" t="str">
        <f>$A$231</f>
        <v>Tax</v>
      </c>
      <c r="BC277" s="1" t="str">
        <f>$B$275</f>
        <v>Tax clawback calculations</v>
      </c>
    </row>
    <row r="278" spans="2:56">
      <c r="E278" t="s">
        <v>216</v>
      </c>
      <c r="G278" t="s">
        <v>783</v>
      </c>
      <c r="AU278" s="96" t="b">
        <f>AU277&gt;AU245</f>
        <v>0</v>
      </c>
      <c r="AV278" s="61" t="b">
        <f>AV277&gt;AV245</f>
        <v>0</v>
      </c>
      <c r="AW278" s="61" t="b">
        <f>AW277&gt;AW245</f>
        <v>0</v>
      </c>
      <c r="AX278" s="61" t="b">
        <f>AX277&gt;AX245</f>
        <v>0</v>
      </c>
      <c r="AY278" s="61" t="b">
        <f>AY277&gt;AY245</f>
        <v>0</v>
      </c>
      <c r="BA278" s="44" t="str">
        <f t="shared" ca="1" si="73"/>
        <v>Calculations_SO</v>
      </c>
      <c r="BB278" s="1" t="str">
        <f>$A$231</f>
        <v>Tax</v>
      </c>
      <c r="BC278" s="1" t="str">
        <f>$B$275</f>
        <v>Tax clawback calculations</v>
      </c>
    </row>
    <row r="279" spans="2:56">
      <c r="BA279" s="44"/>
    </row>
    <row r="280" spans="2:56">
      <c r="E280" t="s">
        <v>328</v>
      </c>
      <c r="G280" t="s">
        <v>783</v>
      </c>
      <c r="AU280" s="96" t="b">
        <f>AU246&gt;-SUM(AU236:AU237)</f>
        <v>0</v>
      </c>
      <c r="AV280" s="61" t="b">
        <f ca="1">AV246&gt;-SUM(AV236:AV237)</f>
        <v>0</v>
      </c>
      <c r="AW280" s="61" t="b">
        <f ca="1">AW246&gt;-SUM(AW236:AW237)</f>
        <v>0</v>
      </c>
      <c r="AX280" s="61" t="b">
        <f ca="1">AX246&gt;-SUM(AX236:AX237)</f>
        <v>0</v>
      </c>
      <c r="AY280" s="61" t="b">
        <f ca="1">AY246&gt;-SUM(AY236:AY237)</f>
        <v>0</v>
      </c>
      <c r="BA280" s="44" t="str">
        <f t="shared" ca="1" si="73"/>
        <v>Calculations_SO</v>
      </c>
      <c r="BB280" s="1" t="str">
        <f>$A$231</f>
        <v>Tax</v>
      </c>
      <c r="BC280" s="1" t="str">
        <f>$B$275</f>
        <v>Tax clawback calculations</v>
      </c>
    </row>
    <row r="281" spans="2:56">
      <c r="BA281" s="44"/>
    </row>
    <row r="282" spans="2:56">
      <c r="E282" t="s">
        <v>217</v>
      </c>
      <c r="G282" t="s">
        <v>783</v>
      </c>
      <c r="AU282" s="96" t="b">
        <f>AU278*AU280=1</f>
        <v>0</v>
      </c>
      <c r="AV282" s="61" t="b">
        <f ca="1">AV278*AV280=1</f>
        <v>0</v>
      </c>
      <c r="AW282" s="61" t="b">
        <f ca="1">AW278*AW280=1</f>
        <v>0</v>
      </c>
      <c r="AX282" s="61" t="b">
        <f ca="1">AX278*AX280=1</f>
        <v>0</v>
      </c>
      <c r="AY282" s="61" t="b">
        <f ca="1">AY278*AY280=1</f>
        <v>0</v>
      </c>
      <c r="BA282" s="44" t="str">
        <f t="shared" ca="1" si="73"/>
        <v>Calculations_SO</v>
      </c>
      <c r="BB282" s="1" t="str">
        <f>$A$231</f>
        <v>Tax</v>
      </c>
      <c r="BC282" s="1" t="str">
        <f>$B$275</f>
        <v>Tax clawback calculations</v>
      </c>
    </row>
    <row r="283" spans="2:56">
      <c r="E283" t="s">
        <v>221</v>
      </c>
      <c r="G283" t="str">
        <f t="shared" ref="G283" si="80">nominal</f>
        <v>£m nominal</v>
      </c>
      <c r="AU283" s="96">
        <f>(AU246+SUM(AU236:AU237))*AU282</f>
        <v>0</v>
      </c>
      <c r="AV283" s="61">
        <f ca="1">(AV246+SUM(AV236:AV237))*AV282</f>
        <v>0</v>
      </c>
      <c r="AW283" s="61">
        <f ca="1">(AW246+SUM(AW236:AW237))*AW282</f>
        <v>0</v>
      </c>
      <c r="AX283" s="61">
        <f ca="1">(AX246+SUM(AX236:AX237))*AX282</f>
        <v>0</v>
      </c>
      <c r="AY283" s="61">
        <f ca="1">(AY246+SUM(AY236:AY237))*AY282</f>
        <v>0</v>
      </c>
      <c r="BA283" s="44" t="str">
        <f t="shared" ca="1" si="73"/>
        <v>Calculations_SO</v>
      </c>
      <c r="BB283" s="1" t="str">
        <f>$A$231</f>
        <v>Tax</v>
      </c>
      <c r="BC283" s="1" t="str">
        <f>$B$275</f>
        <v>Tax clawback calculations</v>
      </c>
    </row>
    <row r="284" spans="2:56">
      <c r="BA284" s="44"/>
    </row>
    <row r="285" spans="2:56" ht="16.5" thickBot="1">
      <c r="C285" s="14" t="s">
        <v>537</v>
      </c>
      <c r="BA285" s="44"/>
    </row>
    <row r="286" spans="2:56">
      <c r="E286" t="s">
        <v>538</v>
      </c>
      <c r="G286" t="str">
        <f t="shared" ref="G286:G289" si="81">nominal</f>
        <v>£m nominal</v>
      </c>
      <c r="AU286" s="97">
        <f>AT289</f>
        <v>0</v>
      </c>
      <c r="AV286" s="38">
        <f t="shared" ref="AV286:AY286" ca="1" si="82">AU289</f>
        <v>0</v>
      </c>
      <c r="AW286" s="38">
        <f t="shared" ca="1" si="82"/>
        <v>0</v>
      </c>
      <c r="AX286" s="38">
        <f t="shared" ca="1" si="82"/>
        <v>0</v>
      </c>
      <c r="AY286" s="38">
        <f t="shared" ca="1" si="82"/>
        <v>0</v>
      </c>
      <c r="BA286" s="44" t="str">
        <f t="shared" ca="1" si="73"/>
        <v>Calculations_SO</v>
      </c>
      <c r="BB286" s="1" t="str">
        <f>$A$231</f>
        <v>Tax</v>
      </c>
      <c r="BC286" s="1" t="str">
        <f>$B$275</f>
        <v>Tax clawback calculations</v>
      </c>
      <c r="BD286" s="1" t="str">
        <f>$C$285</f>
        <v>Tax clawback pool (not restricted)</v>
      </c>
    </row>
    <row r="287" spans="2:56">
      <c r="E287" t="s">
        <v>539</v>
      </c>
      <c r="G287" t="str">
        <f t="shared" si="81"/>
        <v>£m nominal</v>
      </c>
      <c r="AU287" s="97">
        <f>AU283</f>
        <v>0</v>
      </c>
      <c r="AV287" s="38">
        <f t="shared" ref="AV287:AY287" ca="1" si="83">AV283</f>
        <v>0</v>
      </c>
      <c r="AW287" s="38">
        <f t="shared" ca="1" si="83"/>
        <v>0</v>
      </c>
      <c r="AX287" s="38">
        <f t="shared" ca="1" si="83"/>
        <v>0</v>
      </c>
      <c r="AY287" s="38">
        <f t="shared" ca="1" si="83"/>
        <v>0</v>
      </c>
      <c r="BA287" s="44" t="str">
        <f t="shared" ca="1" si="73"/>
        <v>Calculations_SO</v>
      </c>
      <c r="BB287" s="1" t="str">
        <f>$A$231</f>
        <v>Tax</v>
      </c>
      <c r="BC287" s="1" t="str">
        <f>$B$275</f>
        <v>Tax clawback calculations</v>
      </c>
      <c r="BD287" s="1" t="str">
        <f>$C$285</f>
        <v>Tax clawback pool (not restricted)</v>
      </c>
    </row>
    <row r="288" spans="2:56">
      <c r="E288" t="s">
        <v>540</v>
      </c>
      <c r="G288" t="str">
        <f t="shared" si="81"/>
        <v>£m nominal</v>
      </c>
      <c r="AU288" s="96">
        <f ca="1">IF(AU272&gt;0,-MIN(AU286+AU287,AU272),0)</f>
        <v>0</v>
      </c>
      <c r="AV288" s="61">
        <f t="shared" ref="AV288:AY288" ca="1" si="84">IF(AV272&gt;0,-MIN(AV286+AV287,AV272),0)</f>
        <v>0</v>
      </c>
      <c r="AW288" s="61">
        <f t="shared" ca="1" si="84"/>
        <v>0</v>
      </c>
      <c r="AX288" s="61">
        <f t="shared" ca="1" si="84"/>
        <v>0</v>
      </c>
      <c r="AY288" s="61">
        <f t="shared" ca="1" si="84"/>
        <v>0</v>
      </c>
      <c r="BA288" s="44" t="str">
        <f t="shared" ca="1" si="73"/>
        <v>Calculations_SO</v>
      </c>
      <c r="BB288" s="1" t="str">
        <f>$A$231</f>
        <v>Tax</v>
      </c>
      <c r="BC288" s="1" t="str">
        <f>$B$275</f>
        <v>Tax clawback calculations</v>
      </c>
      <c r="BD288" s="1" t="str">
        <f>$C$285</f>
        <v>Tax clawback pool (not restricted)</v>
      </c>
    </row>
    <row r="289" spans="2:56">
      <c r="E289" t="s">
        <v>541</v>
      </c>
      <c r="G289" t="str">
        <f t="shared" si="81"/>
        <v>£m nominal</v>
      </c>
      <c r="AU289" s="96">
        <f ca="1">SUM(AU286:AU288)</f>
        <v>0</v>
      </c>
      <c r="AV289" s="61">
        <f t="shared" ref="AV289:AY289" ca="1" si="85">SUM(AV286:AV288)</f>
        <v>0</v>
      </c>
      <c r="AW289" s="61">
        <f t="shared" ca="1" si="85"/>
        <v>0</v>
      </c>
      <c r="AX289" s="61">
        <f t="shared" ca="1" si="85"/>
        <v>0</v>
      </c>
      <c r="AY289" s="61">
        <f t="shared" ca="1" si="85"/>
        <v>0</v>
      </c>
      <c r="BA289" s="44" t="str">
        <f t="shared" ca="1" si="73"/>
        <v>Calculations_SO</v>
      </c>
      <c r="BB289" s="1" t="str">
        <f>$A$231</f>
        <v>Tax</v>
      </c>
      <c r="BC289" s="1" t="str">
        <f>$B$275</f>
        <v>Tax clawback calculations</v>
      </c>
      <c r="BD289" s="1" t="str">
        <f>$C$285</f>
        <v>Tax clawback pool (not restricted)</v>
      </c>
    </row>
    <row r="290" spans="2:56">
      <c r="BA290" s="44"/>
    </row>
    <row r="291" spans="2:56">
      <c r="E291" t="s">
        <v>542</v>
      </c>
      <c r="G291" t="str">
        <f t="shared" ref="G291" si="86">nominal</f>
        <v>£m nominal</v>
      </c>
      <c r="AU291" s="96">
        <f ca="1">SUM(AU272,AU288)</f>
        <v>16.685791764265971</v>
      </c>
      <c r="AV291" s="61">
        <f t="shared" ref="AV291:AY291" ca="1" si="87">SUM(AV272,AV288)</f>
        <v>19.619839368086069</v>
      </c>
      <c r="AW291" s="61">
        <f t="shared" ca="1" si="87"/>
        <v>13.968740123726519</v>
      </c>
      <c r="AX291" s="61">
        <f t="shared" ca="1" si="87"/>
        <v>7.7854089600888869</v>
      </c>
      <c r="AY291" s="61">
        <f t="shared" ca="1" si="87"/>
        <v>5.0746525979073311</v>
      </c>
      <c r="BA291" s="44" t="str">
        <f t="shared" ca="1" si="73"/>
        <v>Calculations_SO</v>
      </c>
      <c r="BB291" s="1" t="str">
        <f>$A$231</f>
        <v>Tax</v>
      </c>
      <c r="BC291" s="1" t="str">
        <f>$B$275</f>
        <v>Tax clawback calculations</v>
      </c>
      <c r="BD291" s="1" t="str">
        <f>$C$285</f>
        <v>Tax clawback pool (not restricted)</v>
      </c>
    </row>
    <row r="292" spans="2:56">
      <c r="BA292" s="44"/>
    </row>
    <row r="293" spans="2:56" ht="17.5" thickBot="1">
      <c r="B293" s="17" t="s">
        <v>131</v>
      </c>
      <c r="BA293" s="44"/>
    </row>
    <row r="294" spans="2:56" ht="17" thickTop="1" thickBot="1">
      <c r="C294" s="14" t="s">
        <v>310</v>
      </c>
      <c r="BA294" s="44"/>
      <c r="BB294"/>
      <c r="BC294"/>
    </row>
    <row r="295" spans="2:56">
      <c r="E295" t="s">
        <v>543</v>
      </c>
      <c r="G295" t="s">
        <v>783</v>
      </c>
      <c r="AU295" s="96" t="b">
        <f ca="1">AU272&gt;$I$247</f>
        <v>1</v>
      </c>
      <c r="AV295" s="61" t="b">
        <f t="shared" ref="AV295:AY295" ca="1" si="88">AV272&gt;$I$247</f>
        <v>1</v>
      </c>
      <c r="AW295" s="61" t="b">
        <f t="shared" ca="1" si="88"/>
        <v>1</v>
      </c>
      <c r="AX295" s="61" t="b">
        <f t="shared" ca="1" si="88"/>
        <v>1</v>
      </c>
      <c r="AY295" s="61" t="b">
        <f t="shared" ca="1" si="88"/>
        <v>1</v>
      </c>
      <c r="BA295" s="44" t="str">
        <f t="shared" ca="1" si="73"/>
        <v>Calculations_SO</v>
      </c>
      <c r="BB295" s="1" t="str">
        <f>$A$231</f>
        <v>Tax</v>
      </c>
      <c r="BC295" s="1" t="str">
        <f>$B$293</f>
        <v>Tax allowance</v>
      </c>
      <c r="BD295" s="1" t="str">
        <f>$C$294</f>
        <v>Restriction on relief for carried forward losses</v>
      </c>
    </row>
    <row r="296" spans="2:56">
      <c r="E296" t="s">
        <v>544</v>
      </c>
      <c r="G296" t="str">
        <f t="shared" ref="G296:G297" si="89">nominal</f>
        <v>£m nominal</v>
      </c>
      <c r="AU296" s="96">
        <f ca="1">AU295*($I$247+(AU272-$I$247)*$I$248)</f>
        <v>10.842895882132986</v>
      </c>
      <c r="AV296" s="61">
        <f t="shared" ref="AV296:AY296" ca="1" si="90">AV295*($I$247+(AV272-$I$247)*$I$248)</f>
        <v>12.309919684043034</v>
      </c>
      <c r="AW296" s="61">
        <f t="shared" ca="1" si="90"/>
        <v>9.4843700618632596</v>
      </c>
      <c r="AX296" s="61">
        <f t="shared" ca="1" si="90"/>
        <v>6.3927044800444435</v>
      </c>
      <c r="AY296" s="61">
        <f t="shared" ca="1" si="90"/>
        <v>5.0373262989536656</v>
      </c>
      <c r="BA296" s="44" t="str">
        <f t="shared" ca="1" si="73"/>
        <v>Calculations_SO</v>
      </c>
      <c r="BB296" s="1" t="str">
        <f>$A$231</f>
        <v>Tax</v>
      </c>
      <c r="BC296" s="1" t="str">
        <f>$B$293</f>
        <v>Tax allowance</v>
      </c>
      <c r="BD296" s="1" t="str">
        <f>$C$294</f>
        <v>Restriction on relief for carried forward losses</v>
      </c>
    </row>
    <row r="297" spans="2:56">
      <c r="E297" t="s">
        <v>545</v>
      </c>
      <c r="G297" t="str">
        <f t="shared" si="89"/>
        <v>£m nominal</v>
      </c>
      <c r="AU297" s="96">
        <f ca="1">(1-AU295)*AU272</f>
        <v>0</v>
      </c>
      <c r="AV297" s="61">
        <f t="shared" ref="AV297:AY297" ca="1" si="91">(1-AV295)*AV272</f>
        <v>0</v>
      </c>
      <c r="AW297" s="61">
        <f t="shared" ca="1" si="91"/>
        <v>0</v>
      </c>
      <c r="AX297" s="61">
        <f t="shared" ca="1" si="91"/>
        <v>0</v>
      </c>
      <c r="AY297" s="61">
        <f t="shared" ca="1" si="91"/>
        <v>0</v>
      </c>
      <c r="BA297" s="44" t="str">
        <f t="shared" ca="1" si="73"/>
        <v>Calculations_SO</v>
      </c>
      <c r="BB297" s="1" t="str">
        <f>$A$231</f>
        <v>Tax</v>
      </c>
      <c r="BC297" s="1" t="str">
        <f>$B$293</f>
        <v>Tax allowance</v>
      </c>
      <c r="BD297" s="1" t="str">
        <f>$C$294</f>
        <v>Restriction on relief for carried forward losses</v>
      </c>
    </row>
    <row r="298" spans="2:56"/>
    <row r="299" spans="2:56" ht="16.5" thickBot="1">
      <c r="C299" s="14" t="s">
        <v>218</v>
      </c>
      <c r="BA299" s="44"/>
    </row>
    <row r="300" spans="2:56">
      <c r="E300" t="s">
        <v>219</v>
      </c>
      <c r="G300" t="str">
        <f t="shared" ref="G300:G303" si="92">nominal</f>
        <v>£m nominal</v>
      </c>
      <c r="AU300" s="96">
        <f>AU249*StartingBalance+AT303</f>
        <v>0</v>
      </c>
      <c r="AV300" s="61">
        <f ca="1">AV249*StartingBalance+AU303</f>
        <v>0</v>
      </c>
      <c r="AW300" s="61">
        <f ca="1">AW249*StartingBalance+AV303</f>
        <v>0</v>
      </c>
      <c r="AX300" s="61">
        <f ca="1">AX249*StartingBalance+AW303</f>
        <v>0</v>
      </c>
      <c r="AY300" s="61">
        <f ca="1">AY249*StartingBalance+AX303</f>
        <v>0</v>
      </c>
      <c r="BA300" s="44" t="str">
        <f t="shared" ca="1" si="73"/>
        <v>Calculations_SO</v>
      </c>
      <c r="BB300" s="1" t="str">
        <f t="shared" ref="BB300:BB303" si="93">$A$231</f>
        <v>Tax</v>
      </c>
      <c r="BC300" s="1" t="str">
        <f t="shared" ref="BC300:BC303" si="94">$B$293</f>
        <v>Tax allowance</v>
      </c>
      <c r="BD300" s="1" t="str">
        <f t="shared" ref="BD300:BD303" si="95">$C$299</f>
        <v>Regulatory tax losses</v>
      </c>
    </row>
    <row r="301" spans="2:56">
      <c r="E301" t="s">
        <v>220</v>
      </c>
      <c r="G301" t="str">
        <f t="shared" si="92"/>
        <v>£m nominal</v>
      </c>
      <c r="AU301" s="96">
        <f ca="1">MIN(AU272,0)</f>
        <v>0</v>
      </c>
      <c r="AV301" s="61">
        <f t="shared" ref="AV301:AY301" ca="1" si="96">MIN(AV272,0)</f>
        <v>0</v>
      </c>
      <c r="AW301" s="61">
        <f t="shared" ca="1" si="96"/>
        <v>0</v>
      </c>
      <c r="AX301" s="61">
        <f t="shared" ca="1" si="96"/>
        <v>0</v>
      </c>
      <c r="AY301" s="61">
        <f t="shared" ca="1" si="96"/>
        <v>0</v>
      </c>
      <c r="BA301" s="44" t="str">
        <f t="shared" ca="1" si="73"/>
        <v>Calculations_SO</v>
      </c>
      <c r="BB301" s="1" t="str">
        <f t="shared" si="93"/>
        <v>Tax</v>
      </c>
      <c r="BC301" s="1" t="str">
        <f t="shared" si="94"/>
        <v>Tax allowance</v>
      </c>
      <c r="BD301" s="1" t="str">
        <f t="shared" si="95"/>
        <v>Regulatory tax losses</v>
      </c>
    </row>
    <row r="302" spans="2:56">
      <c r="E302" t="s">
        <v>222</v>
      </c>
      <c r="G302" t="str">
        <f t="shared" si="92"/>
        <v>£m nominal</v>
      </c>
      <c r="AU302" s="96">
        <f ca="1">IF(AU272&gt;=0,MIN(AU296+AU297,-AU300,AU291),0)</f>
        <v>0</v>
      </c>
      <c r="AV302" s="61">
        <f ca="1">IF(AV272&gt;=0,MIN(AV296+AV297,-AV300,AV291),0)</f>
        <v>0</v>
      </c>
      <c r="AW302" s="61">
        <f ca="1">IF(AW272&gt;=0,MIN(AW296+AW297,-AW300,AW291),0)</f>
        <v>0</v>
      </c>
      <c r="AX302" s="61">
        <f ca="1">IF(AX272&gt;=0,MIN(AX296+AX297,-AX300,AX291),0)</f>
        <v>0</v>
      </c>
      <c r="AY302" s="61">
        <f ca="1">IF(AY272&gt;=0,MIN(AY296+AY297,-AY300,AY291),0)</f>
        <v>0</v>
      </c>
      <c r="BA302" s="44" t="str">
        <f t="shared" ca="1" si="73"/>
        <v>Calculations_SO</v>
      </c>
      <c r="BB302" s="1" t="str">
        <f t="shared" si="93"/>
        <v>Tax</v>
      </c>
      <c r="BC302" s="1" t="str">
        <f t="shared" si="94"/>
        <v>Tax allowance</v>
      </c>
      <c r="BD302" s="1" t="str">
        <f t="shared" si="95"/>
        <v>Regulatory tax losses</v>
      </c>
    </row>
    <row r="303" spans="2:56">
      <c r="E303" t="s">
        <v>153</v>
      </c>
      <c r="G303" t="str">
        <f t="shared" si="92"/>
        <v>£m nominal</v>
      </c>
      <c r="AU303" s="96">
        <f ca="1">SUM(AU300:AU302)</f>
        <v>0</v>
      </c>
      <c r="AV303" s="61">
        <f ca="1">SUM(AV300:AV302)</f>
        <v>0</v>
      </c>
      <c r="AW303" s="61">
        <f ca="1">SUM(AW300:AW302)</f>
        <v>0</v>
      </c>
      <c r="AX303" s="61">
        <f ca="1">SUM(AX300:AX302)</f>
        <v>0</v>
      </c>
      <c r="AY303" s="61">
        <f ca="1">SUM(AY300:AY302)</f>
        <v>0</v>
      </c>
      <c r="BA303" s="44" t="str">
        <f t="shared" ca="1" si="73"/>
        <v>Calculations_SO</v>
      </c>
      <c r="BB303" s="1" t="str">
        <f t="shared" si="93"/>
        <v>Tax</v>
      </c>
      <c r="BC303" s="1" t="str">
        <f t="shared" si="94"/>
        <v>Tax allowance</v>
      </c>
      <c r="BD303" s="1" t="str">
        <f t="shared" si="95"/>
        <v>Regulatory tax losses</v>
      </c>
    </row>
    <row r="304" spans="2:56">
      <c r="BA304" s="44"/>
    </row>
    <row r="305" spans="2:56" s="8" customFormat="1" ht="16.5" thickBot="1">
      <c r="C305" s="14" t="s">
        <v>131</v>
      </c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 s="77"/>
      <c r="AU305"/>
      <c r="AV305"/>
      <c r="AW305"/>
      <c r="AX305"/>
      <c r="AY305"/>
      <c r="AZ305"/>
      <c r="BA305" s="44"/>
      <c r="BB305" s="1"/>
      <c r="BC305" s="1"/>
      <c r="BD305" s="1"/>
    </row>
    <row r="306" spans="2:56">
      <c r="E306" t="s">
        <v>223</v>
      </c>
      <c r="G306" t="str">
        <f t="shared" ref="G306:G308" si="97">nominal</f>
        <v>£m nominal</v>
      </c>
      <c r="AU306" s="96">
        <f ca="1">MAX(AU291-AU302,0)</f>
        <v>16.685791764265971</v>
      </c>
      <c r="AV306" s="61">
        <f ca="1">MAX(AV291-AV302,0)</f>
        <v>19.619839368086069</v>
      </c>
      <c r="AW306" s="61">
        <f ca="1">MAX(AW291-AW302,0)</f>
        <v>13.968740123726519</v>
      </c>
      <c r="AX306" s="61">
        <f ca="1">MAX(AX291-AX302,0)</f>
        <v>7.7854089600888869</v>
      </c>
      <c r="AY306" s="61">
        <f ca="1">MAX(AY291-AY302,0)</f>
        <v>5.0746525979073311</v>
      </c>
      <c r="BA306" s="44" t="str">
        <f t="shared" ca="1" si="73"/>
        <v>Calculations_SO</v>
      </c>
      <c r="BB306" s="1" t="str">
        <f>$A$231</f>
        <v>Tax</v>
      </c>
      <c r="BC306" s="1" t="str">
        <f>$B$293</f>
        <v>Tax allowance</v>
      </c>
      <c r="BD306" s="1" t="str">
        <f>$C$305</f>
        <v>Tax allowance</v>
      </c>
    </row>
    <row r="307" spans="2:56">
      <c r="E307" t="s">
        <v>193</v>
      </c>
      <c r="G307" t="str">
        <f t="shared" si="97"/>
        <v>£m nominal</v>
      </c>
      <c r="AU307" s="96">
        <f ca="1">AU306*AU233</f>
        <v>4.1714479410664929</v>
      </c>
      <c r="AV307" s="61">
        <f ca="1">AV306*AV233</f>
        <v>4.9049598420215172</v>
      </c>
      <c r="AW307" s="61">
        <f ca="1">AW306*AW233</f>
        <v>3.4921850309316298</v>
      </c>
      <c r="AX307" s="61">
        <f ca="1">AX306*AX233</f>
        <v>1.9463522400222217</v>
      </c>
      <c r="AY307" s="61">
        <f ca="1">AY306*AY233</f>
        <v>1.2686631494768328</v>
      </c>
      <c r="BA307" s="44" t="str">
        <f t="shared" ca="1" si="73"/>
        <v>Calculations_SO</v>
      </c>
      <c r="BB307" s="1" t="str">
        <f>$A$231</f>
        <v>Tax</v>
      </c>
      <c r="BC307" s="1" t="str">
        <f>$B$293</f>
        <v>Tax allowance</v>
      </c>
      <c r="BD307" s="1" t="str">
        <f>$C$305</f>
        <v>Tax allowance</v>
      </c>
    </row>
    <row r="308" spans="2:56" s="8" customFormat="1">
      <c r="C308"/>
      <c r="D308"/>
      <c r="E308" t="s">
        <v>224</v>
      </c>
      <c r="F308"/>
      <c r="G308" t="str">
        <f t="shared" si="97"/>
        <v>£m nominal</v>
      </c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 s="77"/>
      <c r="AU308" s="96">
        <f ca="1">AU307*AU253</f>
        <v>5.5619305880886571</v>
      </c>
      <c r="AV308" s="61">
        <f ca="1">AV307*AV253</f>
        <v>6.5399464560286891</v>
      </c>
      <c r="AW308" s="61">
        <f ca="1">AW307*AW253</f>
        <v>4.6562467079088394</v>
      </c>
      <c r="AX308" s="61">
        <f ca="1">AX307*AX253</f>
        <v>2.5951363200296287</v>
      </c>
      <c r="AY308" s="61">
        <f ca="1">AY307*AY253</f>
        <v>1.6915508659691103</v>
      </c>
      <c r="AZ308"/>
      <c r="BA308" s="44" t="str">
        <f t="shared" ca="1" si="73"/>
        <v>Calculations_SO</v>
      </c>
      <c r="BB308" s="1" t="str">
        <f>$A$231</f>
        <v>Tax</v>
      </c>
      <c r="BC308" s="1" t="str">
        <f>$B$293</f>
        <v>Tax allowance</v>
      </c>
      <c r="BD308" s="1" t="str">
        <f>$C$305</f>
        <v>Tax allowance</v>
      </c>
    </row>
    <row r="309" spans="2:56">
      <c r="BA309" s="44"/>
    </row>
    <row r="310" spans="2:56">
      <c r="E310" t="s">
        <v>26</v>
      </c>
      <c r="G310" t="str">
        <f t="shared" ref="G310:G311" si="98">nominal</f>
        <v>£m nominal</v>
      </c>
      <c r="AU310" s="97">
        <f>AU250*PCf</f>
        <v>0</v>
      </c>
      <c r="AV310" s="38">
        <f>AV250*PCf</f>
        <v>0</v>
      </c>
      <c r="AW310" s="38">
        <f>AW250*PCf</f>
        <v>0</v>
      </c>
      <c r="AX310" s="38">
        <f>AX250*PCf</f>
        <v>0</v>
      </c>
      <c r="AY310" s="38">
        <f>AY250*PCf</f>
        <v>0</v>
      </c>
      <c r="BA310" s="44" t="str">
        <f t="shared" ca="1" si="73"/>
        <v>Calculations_SO</v>
      </c>
      <c r="BB310" s="1" t="str">
        <f>$A$231</f>
        <v>Tax</v>
      </c>
      <c r="BC310" s="1" t="str">
        <f>$B$293</f>
        <v>Tax allowance</v>
      </c>
      <c r="BD310" s="1" t="str">
        <f>$C$305</f>
        <v>Tax allowance</v>
      </c>
    </row>
    <row r="311" spans="2:56">
      <c r="E311" t="s">
        <v>192</v>
      </c>
      <c r="G311" t="str">
        <f t="shared" si="98"/>
        <v>£m nominal</v>
      </c>
      <c r="AU311" s="96">
        <f ca="1">SUM(AU308,AU310)</f>
        <v>5.5619305880886571</v>
      </c>
      <c r="AV311" s="61">
        <f ca="1">SUM(AV308,AV310)</f>
        <v>6.5399464560286891</v>
      </c>
      <c r="AW311" s="61">
        <f ca="1">SUM(AW308,AW310)</f>
        <v>4.6562467079088394</v>
      </c>
      <c r="AX311" s="61">
        <f ca="1">SUM(AX308,AX310)</f>
        <v>2.5951363200296287</v>
      </c>
      <c r="AY311" s="61">
        <f ca="1">SUM(AY308,AY310)</f>
        <v>1.6915508659691103</v>
      </c>
      <c r="BA311" s="44" t="str">
        <f t="shared" ca="1" si="73"/>
        <v>Calculations_SO</v>
      </c>
      <c r="BB311" s="1" t="str">
        <f>$A$231</f>
        <v>Tax</v>
      </c>
      <c r="BC311" s="1" t="str">
        <f>$B$293</f>
        <v>Tax allowance</v>
      </c>
      <c r="BD311" s="1" t="str">
        <f>$C$305</f>
        <v>Tax allowance</v>
      </c>
    </row>
    <row r="312" spans="2:56">
      <c r="BA312" s="44"/>
    </row>
    <row r="313" spans="2:56" ht="17.5" thickBot="1">
      <c r="B313" s="17" t="s">
        <v>225</v>
      </c>
      <c r="BA313" s="44"/>
    </row>
    <row r="314" spans="2:56" ht="17" thickTop="1" thickBot="1">
      <c r="C314" s="14" t="s">
        <v>226</v>
      </c>
      <c r="BA314" s="44"/>
    </row>
    <row r="315" spans="2:56">
      <c r="E315" t="s">
        <v>227</v>
      </c>
      <c r="G315" t="str">
        <f t="shared" ref="G315:G316" si="99">nominal</f>
        <v>£m nominal</v>
      </c>
      <c r="AU315" s="96">
        <f ca="1">SUM(AU273,AU311)</f>
        <v>22.247722352354629</v>
      </c>
      <c r="AV315" s="61">
        <f ca="1">SUM(AV273,AV311)</f>
        <v>26.159785824114756</v>
      </c>
      <c r="AW315" s="61">
        <f ca="1">SUM(AW273,AW311)</f>
        <v>18.624986831635358</v>
      </c>
      <c r="AX315" s="61">
        <f ca="1">SUM(AX273,AX311)</f>
        <v>10.380545280118515</v>
      </c>
      <c r="AY315" s="61">
        <f ca="1">SUM(AY273,AY311)</f>
        <v>6.7662034638764412</v>
      </c>
      <c r="BA315" s="44" t="str">
        <f t="shared" ca="1" si="73"/>
        <v>Calculations_SO</v>
      </c>
      <c r="BB315" s="1" t="str">
        <f>$A$231</f>
        <v>Tax</v>
      </c>
      <c r="BC315" s="1" t="str">
        <f>$B$313</f>
        <v>Tax paid</v>
      </c>
      <c r="BD315" s="1" t="str">
        <f>$C$314</f>
        <v>Tax base</v>
      </c>
    </row>
    <row r="316" spans="2:56">
      <c r="E316" t="s">
        <v>546</v>
      </c>
      <c r="G316" t="str">
        <f t="shared" si="99"/>
        <v>£m nominal</v>
      </c>
      <c r="AU316" s="96">
        <f ca="1">SUM(AU315,AU288)</f>
        <v>22.247722352354629</v>
      </c>
      <c r="AV316" s="61">
        <f ca="1">SUM(AV315,AV288)</f>
        <v>26.159785824114756</v>
      </c>
      <c r="AW316" s="61">
        <f ca="1">SUM(AW315,AW288)</f>
        <v>18.624986831635358</v>
      </c>
      <c r="AX316" s="61">
        <f ca="1">SUM(AX315,AX288)</f>
        <v>10.380545280118515</v>
      </c>
      <c r="AY316" s="61">
        <f ca="1">SUM(AY315,AY288)</f>
        <v>6.7662034638764412</v>
      </c>
      <c r="BA316" s="44" t="str">
        <f t="shared" ca="1" si="73"/>
        <v>Calculations_SO</v>
      </c>
      <c r="BB316" s="1" t="str">
        <f>$A$231</f>
        <v>Tax</v>
      </c>
      <c r="BC316" s="1" t="str">
        <f>$B$313</f>
        <v>Tax paid</v>
      </c>
      <c r="BD316" s="1" t="str">
        <f>$C$314</f>
        <v>Tax base</v>
      </c>
    </row>
    <row r="317" spans="2:56">
      <c r="BA317" s="44"/>
    </row>
    <row r="318" spans="2:56" ht="16.5" thickBot="1">
      <c r="C318" s="14" t="s">
        <v>310</v>
      </c>
      <c r="BA318" s="44"/>
    </row>
    <row r="319" spans="2:56">
      <c r="E319" t="s">
        <v>311</v>
      </c>
      <c r="G319" t="s">
        <v>783</v>
      </c>
      <c r="AU319" s="96" t="b">
        <f ca="1">AU315&gt;$I$247</f>
        <v>1</v>
      </c>
      <c r="AV319" s="61" t="b">
        <f ca="1">AV315&gt;$I$247</f>
        <v>1</v>
      </c>
      <c r="AW319" s="61" t="b">
        <f ca="1">AW315&gt;$I$247</f>
        <v>1</v>
      </c>
      <c r="AX319" s="61" t="b">
        <f ca="1">AX315&gt;$I$247</f>
        <v>1</v>
      </c>
      <c r="AY319" s="61" t="b">
        <f ca="1">AY315&gt;$I$247</f>
        <v>1</v>
      </c>
      <c r="BA319" s="44" t="str">
        <f t="shared" ca="1" si="73"/>
        <v>Calculations_SO</v>
      </c>
      <c r="BB319" s="1" t="str">
        <f>$A$231</f>
        <v>Tax</v>
      </c>
      <c r="BC319" s="1" t="str">
        <f>$B$313</f>
        <v>Tax paid</v>
      </c>
      <c r="BD319" s="1" t="str">
        <f>$C$318</f>
        <v>Restriction on relief for carried forward losses</v>
      </c>
    </row>
    <row r="320" spans="2:56">
      <c r="E320" t="s">
        <v>312</v>
      </c>
      <c r="G320" t="str">
        <f t="shared" ref="G320:G321" si="100">nominal</f>
        <v>£m nominal</v>
      </c>
      <c r="AU320" s="96">
        <f ca="1">AU319*($I$247+(AU315-$I$247)*$I$248)</f>
        <v>13.623861176177314</v>
      </c>
      <c r="AV320" s="61">
        <f ca="1">AV319*($I$247+(AV315-$I$247)*$I$248)</f>
        <v>15.579892912057378</v>
      </c>
      <c r="AW320" s="61">
        <f ca="1">AW319*($I$247+(AW315-$I$247)*$I$248)</f>
        <v>11.812493415817679</v>
      </c>
      <c r="AX320" s="61">
        <f ca="1">AX319*($I$247+(AX315-$I$247)*$I$248)</f>
        <v>7.6902726400592574</v>
      </c>
      <c r="AY320" s="61">
        <f ca="1">AY319*($I$247+(AY315-$I$247)*$I$248)</f>
        <v>5.8831017319382202</v>
      </c>
      <c r="BA320" s="44" t="str">
        <f t="shared" ca="1" si="73"/>
        <v>Calculations_SO</v>
      </c>
      <c r="BB320" s="1" t="str">
        <f>$A$231</f>
        <v>Tax</v>
      </c>
      <c r="BC320" s="1" t="str">
        <f>$B$313</f>
        <v>Tax paid</v>
      </c>
      <c r="BD320" s="1" t="str">
        <f>$C$318</f>
        <v>Restriction on relief for carried forward losses</v>
      </c>
    </row>
    <row r="321" spans="1:56">
      <c r="E321" t="s">
        <v>313</v>
      </c>
      <c r="G321" t="str">
        <f t="shared" si="100"/>
        <v>£m nominal</v>
      </c>
      <c r="AU321" s="96">
        <f ca="1">(1-AU319)*AU315</f>
        <v>0</v>
      </c>
      <c r="AV321" s="61">
        <f ca="1">(1-AV319)*AV315</f>
        <v>0</v>
      </c>
      <c r="AW321" s="61">
        <f ca="1">(1-AW319)*AW315</f>
        <v>0</v>
      </c>
      <c r="AX321" s="61">
        <f ca="1">(1-AX319)*AX315</f>
        <v>0</v>
      </c>
      <c r="AY321" s="61">
        <f ca="1">(1-AY319)*AY315</f>
        <v>0</v>
      </c>
      <c r="BA321" s="44" t="str">
        <f t="shared" ca="1" si="73"/>
        <v>Calculations_SO</v>
      </c>
      <c r="BB321" s="1" t="str">
        <f>$A$231</f>
        <v>Tax</v>
      </c>
      <c r="BC321" s="1" t="str">
        <f>$B$313</f>
        <v>Tax paid</v>
      </c>
      <c r="BD321" s="1" t="str">
        <f>$C$318</f>
        <v>Restriction on relief for carried forward losses</v>
      </c>
    </row>
    <row r="322" spans="1:56">
      <c r="BA322" s="44"/>
    </row>
    <row r="323" spans="1:56" ht="16.5" thickBot="1">
      <c r="C323" s="14" t="s">
        <v>228</v>
      </c>
      <c r="BA323" s="44"/>
    </row>
    <row r="324" spans="1:56">
      <c r="E324" t="s">
        <v>219</v>
      </c>
      <c r="G324" t="str">
        <f t="shared" ref="G324:G327" si="101">nominal</f>
        <v>£m nominal</v>
      </c>
      <c r="AU324" s="96">
        <f>AU$249*StartingBalance+AT327</f>
        <v>0</v>
      </c>
      <c r="AV324" s="61">
        <f ca="1">AV$249*StartingBalance+AU327</f>
        <v>0</v>
      </c>
      <c r="AW324" s="61">
        <f ca="1">AW$249*StartingBalance+AV327</f>
        <v>0</v>
      </c>
      <c r="AX324" s="61">
        <f ca="1">AX$249*StartingBalance+AW327</f>
        <v>0</v>
      </c>
      <c r="AY324" s="61">
        <f ca="1">AY$249*StartingBalance+AX327</f>
        <v>0</v>
      </c>
      <c r="BA324" s="44" t="str">
        <f t="shared" ref="BA324:BA331" ca="1" si="102">$A$1</f>
        <v>Calculations_SO</v>
      </c>
      <c r="BB324" s="1" t="str">
        <f t="shared" ref="BB324:BB327" si="103">$A$231</f>
        <v>Tax</v>
      </c>
      <c r="BC324" s="1" t="str">
        <f t="shared" ref="BC324:BC327" si="104">$B$313</f>
        <v>Tax paid</v>
      </c>
      <c r="BD324" s="1" t="str">
        <f t="shared" ref="BD324:BD327" si="105">$C$323</f>
        <v>Tax losses</v>
      </c>
    </row>
    <row r="325" spans="1:56">
      <c r="E325" t="s">
        <v>220</v>
      </c>
      <c r="G325" t="str">
        <f t="shared" si="101"/>
        <v>£m nominal</v>
      </c>
      <c r="AU325" s="96">
        <f ca="1">MIN(AU315,0)</f>
        <v>0</v>
      </c>
      <c r="AV325" s="61">
        <f ca="1">MIN(AV315,0)</f>
        <v>0</v>
      </c>
      <c r="AW325" s="61">
        <f ca="1">MIN(AW315,0)</f>
        <v>0</v>
      </c>
      <c r="AX325" s="61">
        <f ca="1">MIN(AX315,0)</f>
        <v>0</v>
      </c>
      <c r="AY325" s="61">
        <f ca="1">MIN(AY315,0)</f>
        <v>0</v>
      </c>
      <c r="BA325" s="44" t="str">
        <f t="shared" ca="1" si="102"/>
        <v>Calculations_SO</v>
      </c>
      <c r="BB325" s="1" t="str">
        <f t="shared" si="103"/>
        <v>Tax</v>
      </c>
      <c r="BC325" s="1" t="str">
        <f t="shared" si="104"/>
        <v>Tax paid</v>
      </c>
      <c r="BD325" s="1" t="str">
        <f t="shared" si="105"/>
        <v>Tax losses</v>
      </c>
    </row>
    <row r="326" spans="1:56">
      <c r="E326" t="s">
        <v>222</v>
      </c>
      <c r="G326" t="str">
        <f t="shared" si="101"/>
        <v>£m nominal</v>
      </c>
      <c r="AU326" s="96">
        <f ca="1">IF(AU315&gt;=0,MIN(AU320+AU321,-AU324,AU316),0)</f>
        <v>0</v>
      </c>
      <c r="AV326" s="61">
        <f ca="1">IF(AV315&gt;=0,MIN(AV320+AV321,-AV324,AV316),0)</f>
        <v>0</v>
      </c>
      <c r="AW326" s="61">
        <f ca="1">IF(AW315&gt;=0,MIN(AW320+AW321,-AW324,AW316),0)</f>
        <v>0</v>
      </c>
      <c r="AX326" s="61">
        <f ca="1">IF(AX315&gt;=0,MIN(AX320+AX321,-AX324,AX316),0)</f>
        <v>0</v>
      </c>
      <c r="AY326" s="61">
        <f ca="1">IF(AY315&gt;=0,MIN(AY320+AY321,-AY324,AY316),0)</f>
        <v>0</v>
      </c>
      <c r="BA326" s="44" t="str">
        <f t="shared" ca="1" si="102"/>
        <v>Calculations_SO</v>
      </c>
      <c r="BB326" s="1" t="str">
        <f t="shared" si="103"/>
        <v>Tax</v>
      </c>
      <c r="BC326" s="1" t="str">
        <f t="shared" si="104"/>
        <v>Tax paid</v>
      </c>
      <c r="BD326" s="1" t="str">
        <f t="shared" si="105"/>
        <v>Tax losses</v>
      </c>
    </row>
    <row r="327" spans="1:56">
      <c r="E327" t="s">
        <v>153</v>
      </c>
      <c r="G327" t="str">
        <f t="shared" si="101"/>
        <v>£m nominal</v>
      </c>
      <c r="AU327" s="96">
        <f ca="1">SUM(AU324:AU326)</f>
        <v>0</v>
      </c>
      <c r="AV327" s="61">
        <f ca="1">SUM(AV324:AV326)</f>
        <v>0</v>
      </c>
      <c r="AW327" s="61">
        <f ca="1">SUM(AW324:AW326)</f>
        <v>0</v>
      </c>
      <c r="AX327" s="61">
        <f ca="1">SUM(AX324:AX326)</f>
        <v>0</v>
      </c>
      <c r="AY327" s="61">
        <f ca="1">SUM(AY324:AY326)</f>
        <v>0</v>
      </c>
      <c r="BA327" s="44" t="str">
        <f t="shared" ca="1" si="102"/>
        <v>Calculations_SO</v>
      </c>
      <c r="BB327" s="1" t="str">
        <f t="shared" si="103"/>
        <v>Tax</v>
      </c>
      <c r="BC327" s="1" t="str">
        <f t="shared" si="104"/>
        <v>Tax paid</v>
      </c>
      <c r="BD327" s="1" t="str">
        <f t="shared" si="105"/>
        <v>Tax losses</v>
      </c>
    </row>
    <row r="328" spans="1:56">
      <c r="BA328" s="44"/>
    </row>
    <row r="329" spans="1:56" ht="16.5" thickBot="1">
      <c r="C329" s="14" t="s">
        <v>225</v>
      </c>
      <c r="BA329" s="44"/>
    </row>
    <row r="330" spans="1:56">
      <c r="E330" t="s">
        <v>223</v>
      </c>
      <c r="G330" t="str">
        <f t="shared" ref="G330:G331" si="106">nominal</f>
        <v>£m nominal</v>
      </c>
      <c r="AU330" s="96">
        <f ca="1">MAX(AU316-AU326,0)</f>
        <v>22.247722352354629</v>
      </c>
      <c r="AV330" s="61">
        <f ca="1">MAX(AV316-AV326,0)</f>
        <v>26.159785824114756</v>
      </c>
      <c r="AW330" s="61">
        <f ca="1">MAX(AW316-AW326,0)</f>
        <v>18.624986831635358</v>
      </c>
      <c r="AX330" s="61">
        <f ca="1">MAX(AX316-AX326,0)</f>
        <v>10.380545280118515</v>
      </c>
      <c r="AY330" s="61">
        <f ca="1">MAX(AY316-AY326,0)</f>
        <v>6.7662034638764412</v>
      </c>
      <c r="BA330" s="44" t="str">
        <f t="shared" ca="1" si="102"/>
        <v>Calculations_SO</v>
      </c>
      <c r="BB330" s="1" t="str">
        <f>$A$231</f>
        <v>Tax</v>
      </c>
      <c r="BC330" s="1" t="str">
        <f>$B$313</f>
        <v>Tax paid</v>
      </c>
      <c r="BD330" s="1" t="str">
        <f>$C$329</f>
        <v>Tax paid</v>
      </c>
    </row>
    <row r="331" spans="1:56">
      <c r="E331" t="s">
        <v>193</v>
      </c>
      <c r="G331" t="str">
        <f t="shared" si="106"/>
        <v>£m nominal</v>
      </c>
      <c r="AU331" s="96">
        <f ca="1">AU330*AU233</f>
        <v>5.5619305880886571</v>
      </c>
      <c r="AV331" s="61">
        <f ca="1">AV330*AV233</f>
        <v>6.5399464560286891</v>
      </c>
      <c r="AW331" s="61">
        <f ca="1">AW330*AW233</f>
        <v>4.6562467079088394</v>
      </c>
      <c r="AX331" s="61">
        <f ca="1">AX330*AX233</f>
        <v>2.5951363200296287</v>
      </c>
      <c r="AY331" s="61">
        <f ca="1">AY330*AY233</f>
        <v>1.6915508659691103</v>
      </c>
      <c r="BA331" s="44" t="str">
        <f t="shared" ca="1" si="102"/>
        <v>Calculations_SO</v>
      </c>
      <c r="BB331" s="1" t="str">
        <f>$A$231</f>
        <v>Tax</v>
      </c>
      <c r="BC331" s="1" t="str">
        <f>$B$313</f>
        <v>Tax paid</v>
      </c>
      <c r="BD331" s="1" t="str">
        <f>$C$329</f>
        <v>Tax paid</v>
      </c>
    </row>
    <row r="332" spans="1:56">
      <c r="BA332" s="44"/>
    </row>
    <row r="333" spans="1:56" ht="20" thickBot="1">
      <c r="A333" s="15" t="s">
        <v>241</v>
      </c>
      <c r="BD333"/>
    </row>
    <row r="334" spans="1:56"/>
    <row r="335" spans="1:56"/>
  </sheetData>
  <conditionalFormatting sqref="H1">
    <cfRule type="cellIs" dxfId="7" priority="1" operator="equal">
      <formula>"ERROR"</formula>
    </cfRule>
  </conditionalFormatting>
  <pageMargins left="0.7" right="0.7" top="0.75" bottom="0.75" header="0.3" footer="0.3"/>
  <pageSetup paperSize="9" orientation="portrait" r:id="rId1"/>
  <headerFooter>
    <oddFooter>&amp;L_x000D_&amp;1#&amp;"Aptos"&amp;10&amp;K000000 National Gas | Business Use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BFF74B-2B0C-459C-9437-086E7BE37FA2}">
  <sheetPr>
    <tabColor rgb="FFBAA0CC"/>
    <pageSetUpPr autoPageBreaks="0"/>
  </sheetPr>
  <dimension ref="A1:BF103"/>
  <sheetViews>
    <sheetView workbookViewId="0">
      <pane xSplit="10" ySplit="4" topLeftCell="AM5" activePane="bottomRight" state="frozen"/>
      <selection pane="topRight" activeCell="K1" sqref="K1"/>
      <selection pane="bottomLeft" activeCell="A5" sqref="A5"/>
      <selection pane="bottomRight"/>
    </sheetView>
  </sheetViews>
  <sheetFormatPr defaultColWidth="0" defaultRowHeight="16" zeroHeight="1" outlineLevelRow="1" outlineLevelCol="1"/>
  <cols>
    <col min="1" max="3" width="1.81640625" customWidth="1"/>
    <col min="4" max="4" width="15.7265625" customWidth="1"/>
    <col min="5" max="5" width="77.26953125" customWidth="1"/>
    <col min="6" max="6" width="8.7265625" customWidth="1"/>
    <col min="7" max="7" width="17.7265625" customWidth="1"/>
    <col min="8" max="8" width="9.7265625" customWidth="1"/>
    <col min="9" max="9" width="11.7265625" customWidth="1"/>
    <col min="10" max="10" width="2.08984375" customWidth="1"/>
    <col min="11" max="45" width="11.7265625" hidden="1" customWidth="1" outlineLevel="1"/>
    <col min="46" max="46" width="11.7265625" style="77" hidden="1" customWidth="1" outlineLevel="1"/>
    <col min="47" max="47" width="11.7265625" customWidth="1" collapsed="1"/>
    <col min="48" max="52" width="11.7265625" customWidth="1"/>
    <col min="53" max="55" width="10.7265625" style="1" customWidth="1"/>
    <col min="56" max="57" width="10.7265625" customWidth="1"/>
    <col min="58" max="58" width="1.7265625" style="8" customWidth="1"/>
    <col min="59" max="16384" width="9.08984375" hidden="1"/>
  </cols>
  <sheetData>
    <row r="1" spans="1:56" s="119" customFormat="1" ht="14.5">
      <c r="A1" s="118" t="str" cm="1">
        <f t="array" aca="1" ref="A1" ca="1">MID(CELL("filename",$A$1),FIND("]",CELL("filename",$A$1))+1,255)</f>
        <v>ReturnAdj</v>
      </c>
      <c r="G1" s="119" t="s">
        <v>515</v>
      </c>
      <c r="H1" s="38" t="str">
        <f ca="1">Checks!I7</f>
        <v>ERROR</v>
      </c>
      <c r="AT1" s="124"/>
    </row>
    <row r="2" spans="1:56" s="119" customFormat="1" ht="15" customHeight="1">
      <c r="AT2" s="124"/>
    </row>
    <row r="3" spans="1:56" s="119" customFormat="1" ht="15" customHeight="1">
      <c r="E3" s="119" t="s">
        <v>0</v>
      </c>
      <c r="F3" s="119" t="s">
        <v>1</v>
      </c>
      <c r="G3" s="119" t="s">
        <v>2</v>
      </c>
      <c r="H3" s="119" t="s">
        <v>3</v>
      </c>
      <c r="I3" s="119" t="str">
        <f>NGT_TO!I3</f>
        <v>Constant</v>
      </c>
      <c r="AT3" s="124"/>
      <c r="AU3" s="122" t="str">
        <f>NGT_TO!AU3</f>
        <v>Annual values</v>
      </c>
    </row>
    <row r="4" spans="1:56" s="119" customFormat="1" ht="15" customHeight="1">
      <c r="D4" s="121" t="s">
        <v>421</v>
      </c>
      <c r="E4" s="119" t="s">
        <v>6</v>
      </c>
      <c r="K4" s="122">
        <f>NGT_TO!K4</f>
        <v>33328</v>
      </c>
      <c r="L4" s="122">
        <f>NGT_TO!L4</f>
        <v>33694</v>
      </c>
      <c r="M4" s="122">
        <f>NGT_TO!M4</f>
        <v>34059</v>
      </c>
      <c r="N4" s="122">
        <f>NGT_TO!N4</f>
        <v>34424</v>
      </c>
      <c r="O4" s="122">
        <f>NGT_TO!O4</f>
        <v>34789</v>
      </c>
      <c r="P4" s="122">
        <f>NGT_TO!P4</f>
        <v>35155</v>
      </c>
      <c r="Q4" s="122">
        <f>NGT_TO!Q4</f>
        <v>35520</v>
      </c>
      <c r="R4" s="122">
        <f>NGT_TO!R4</f>
        <v>35885</v>
      </c>
      <c r="S4" s="122">
        <f>NGT_TO!S4</f>
        <v>36250</v>
      </c>
      <c r="T4" s="122">
        <f>NGT_TO!T4</f>
        <v>36616</v>
      </c>
      <c r="U4" s="122">
        <f>NGT_TO!U4</f>
        <v>36981</v>
      </c>
      <c r="V4" s="122">
        <f>NGT_TO!V4</f>
        <v>37346</v>
      </c>
      <c r="W4" s="122">
        <f>NGT_TO!W4</f>
        <v>37711</v>
      </c>
      <c r="X4" s="122">
        <f>NGT_TO!X4</f>
        <v>38077</v>
      </c>
      <c r="Y4" s="122">
        <f>NGT_TO!Y4</f>
        <v>38442</v>
      </c>
      <c r="Z4" s="122">
        <f>NGT_TO!Z4</f>
        <v>38807</v>
      </c>
      <c r="AA4" s="122">
        <f>NGT_TO!AA4</f>
        <v>39172</v>
      </c>
      <c r="AB4" s="122">
        <f>NGT_TO!AB4</f>
        <v>39538</v>
      </c>
      <c r="AC4" s="122">
        <f>NGT_TO!AC4</f>
        <v>39903</v>
      </c>
      <c r="AD4" s="122">
        <f>NGT_TO!AD4</f>
        <v>40268</v>
      </c>
      <c r="AE4" s="122">
        <f>NGT_TO!AE4</f>
        <v>40633</v>
      </c>
      <c r="AF4" s="122">
        <f>NGT_TO!AF4</f>
        <v>40999</v>
      </c>
      <c r="AG4" s="122">
        <f>NGT_TO!AG4</f>
        <v>41364</v>
      </c>
      <c r="AH4" s="122">
        <f>NGT_TO!AH4</f>
        <v>41729</v>
      </c>
      <c r="AI4" s="122">
        <f>NGT_TO!AI4</f>
        <v>42094</v>
      </c>
      <c r="AJ4" s="122">
        <f>NGT_TO!AJ4</f>
        <v>42460</v>
      </c>
      <c r="AK4" s="122">
        <f>NGT_TO!AK4</f>
        <v>42825</v>
      </c>
      <c r="AL4" s="122">
        <f>NGT_TO!AL4</f>
        <v>43190</v>
      </c>
      <c r="AM4" s="122">
        <f>NGT_TO!AM4</f>
        <v>43555</v>
      </c>
      <c r="AN4" s="122">
        <f>NGT_TO!AN4</f>
        <v>43921</v>
      </c>
      <c r="AO4" s="122">
        <f>NGT_TO!AO4</f>
        <v>44286</v>
      </c>
      <c r="AP4" s="122">
        <f>NGT_TO!AP4</f>
        <v>44651</v>
      </c>
      <c r="AQ4" s="122">
        <f>NGT_TO!AQ4</f>
        <v>45016</v>
      </c>
      <c r="AR4" s="122">
        <f>NGT_TO!AR4</f>
        <v>45382</v>
      </c>
      <c r="AS4" s="122">
        <f>NGT_TO!AS4</f>
        <v>45747</v>
      </c>
      <c r="AT4" s="123">
        <f>NGT_TO!AT4</f>
        <v>46112</v>
      </c>
      <c r="AU4" s="122">
        <f>NGT_TO!AU4</f>
        <v>46477</v>
      </c>
      <c r="AV4" s="122">
        <f>NGT_TO!AV4</f>
        <v>46843</v>
      </c>
      <c r="AW4" s="122">
        <f>NGT_TO!AW4</f>
        <v>47208</v>
      </c>
      <c r="AX4" s="122">
        <f>NGT_TO!AX4</f>
        <v>47573</v>
      </c>
      <c r="AY4" s="122">
        <f>NGT_TO!AY4</f>
        <v>47938</v>
      </c>
      <c r="BA4" s="127" t="s">
        <v>527</v>
      </c>
      <c r="BB4" s="127" t="s">
        <v>528</v>
      </c>
      <c r="BC4" s="127" t="s">
        <v>529</v>
      </c>
      <c r="BD4" s="127" t="s">
        <v>530</v>
      </c>
    </row>
    <row r="5" spans="1:56">
      <c r="AP5" s="1"/>
      <c r="AQ5" s="1"/>
      <c r="AR5" s="1"/>
      <c r="AS5" s="1"/>
      <c r="AT5" s="100"/>
    </row>
    <row r="6" spans="1:56" ht="20" thickBot="1">
      <c r="A6" s="15" t="s">
        <v>400</v>
      </c>
      <c r="AP6" s="1"/>
      <c r="AQ6" s="1"/>
      <c r="AR6" s="1"/>
      <c r="AS6" s="1"/>
      <c r="AT6" s="100"/>
      <c r="AU6" s="1"/>
      <c r="AV6" s="1"/>
      <c r="AW6" s="1"/>
      <c r="AX6" s="1"/>
      <c r="AY6" s="1"/>
    </row>
    <row r="7" spans="1:56" ht="16.5" outlineLevel="1" thickTop="1">
      <c r="D7" s="1" t="str" cm="1">
        <f t="array" aca="1" ref="D7" ca="1">IFERROR(MID(_xlfn.FORMULATEXT(I7),FIND("=",_xlfn.FORMULATEXT(I7))+1,FIND("!",_xlfn.FORMULATEXT(I7))-2),MID(_xlfn.FORMULATEXT(INDEX(L7:AV7,MATCH(FALSE,ISBLANK(L7:AV7),0))),FIND("=",_xlfn.FORMULATEXT(INDEX(L7:AV7,MATCH(FALSE,ISBLANK(L7:AV7),0))))+1,FIND("!",_xlfn.FORMULATEXT(INDEX(L7:AV7,MATCH(FALSE,ISBLANK(L7:AV7),0))))-2))</f>
        <v>Transform_TO</v>
      </c>
      <c r="E7" t="s">
        <v>559</v>
      </c>
      <c r="G7" t="s">
        <v>33</v>
      </c>
      <c r="AU7" s="99">
        <f>Transform_TO!AU190</f>
        <v>0.6</v>
      </c>
      <c r="AV7" s="70">
        <f>Transform_TO!AV190</f>
        <v>0.6</v>
      </c>
      <c r="AW7" s="70">
        <f>Transform_TO!AW190</f>
        <v>0.6</v>
      </c>
      <c r="AX7" s="70">
        <f>Transform_TO!AX190</f>
        <v>0.6</v>
      </c>
      <c r="AY7" s="70">
        <f>Transform_TO!AY190</f>
        <v>0.6</v>
      </c>
    </row>
    <row r="8" spans="1:56" outlineLevel="1">
      <c r="D8" s="1" t="str" cm="1">
        <f t="array" aca="1" ref="D8" ca="1">IFERROR(MID(_xlfn.FORMULATEXT(I8),FIND("=",_xlfn.FORMULATEXT(I8))+1,FIND("!",_xlfn.FORMULATEXT(I8))-2),MID(_xlfn.FORMULATEXT(INDEX(L8:AV8,MATCH(FALSE,ISBLANK(L8:AV8),0))),FIND("=",_xlfn.FORMULATEXT(INDEX(L8:AV8,MATCH(FALSE,ISBLANK(L8:AV8),0))))+1,FIND("!",_xlfn.FORMULATEXT(INDEX(L8:AV8,MATCH(FALSE,ISBLANK(L8:AV8),0))))-2))</f>
        <v>'Return&amp;RAV'</v>
      </c>
      <c r="E8" t="s">
        <v>1133</v>
      </c>
      <c r="G8" t="str">
        <f>price_label</f>
        <v>£m 23/24 prices</v>
      </c>
      <c r="AU8" s="95">
        <f>'Return&amp;RAV'!AU50</f>
        <v>7225.7716081836124</v>
      </c>
      <c r="AV8" s="69">
        <f>'Return&amp;RAV'!AV50</f>
        <v>7440.2626443185964</v>
      </c>
      <c r="AW8" s="69">
        <f>'Return&amp;RAV'!AW50</f>
        <v>7744.1863762562443</v>
      </c>
      <c r="AX8" s="69">
        <f>'Return&amp;RAV'!AX50</f>
        <v>7921.0288086464561</v>
      </c>
      <c r="AY8" s="69">
        <f>'Return&amp;RAV'!AY50</f>
        <v>7925.31287999303</v>
      </c>
    </row>
    <row r="9" spans="1:56" outlineLevel="1">
      <c r="A9" s="1"/>
      <c r="D9" s="1" t="str" cm="1">
        <f t="array" aca="1" ref="D9" ca="1">IFERROR(MID(_xlfn.FORMULATEXT(I9),FIND("=",_xlfn.FORMULATEXT(I9))+1,FIND("!",_xlfn.FORMULATEXT(I9))-2),MID(_xlfn.FORMULATEXT(INDEX(L9:AV9,MATCH(FALSE,ISBLANK(L9:AV9),0))),FIND("=",_xlfn.FORMULATEXT(INDEX(L9:AV9,MATCH(FALSE,ISBLANK(L9:AV9),0))))+1,FIND("!",_xlfn.FORMULATEXT(INDEX(L9:AV9,MATCH(FALSE,ISBLANK(L9:AV9),0))))-2))</f>
        <v>TIM</v>
      </c>
      <c r="E9" t="s">
        <v>1134</v>
      </c>
      <c r="G9" t="str">
        <f>price_label</f>
        <v>£m 23/24 prices</v>
      </c>
      <c r="AU9" s="95">
        <f>TIM!AU40</f>
        <v>-0.48717833874104599</v>
      </c>
      <c r="AV9" s="69">
        <f>TIM!AV40</f>
        <v>-1.8110494457818049</v>
      </c>
      <c r="AW9" s="69">
        <f>TIM!AW40</f>
        <v>-3.9816736158362573</v>
      </c>
      <c r="AX9" s="69">
        <f>TIM!AX40</f>
        <v>-0.6771615168796643</v>
      </c>
      <c r="AY9" s="69">
        <f>TIM!AY40</f>
        <v>-1.9370827612874564E-3</v>
      </c>
    </row>
    <row r="10" spans="1:56" outlineLevel="1">
      <c r="D10" s="1" t="str" cm="1">
        <f t="array" aca="1" ref="D10" ca="1">IFERROR(MID(_xlfn.FORMULATEXT(I10),FIND("=",_xlfn.FORMULATEXT(I10))+1,FIND("!",_xlfn.FORMULATEXT(I10))-2),MID(_xlfn.FORMULATEXT(INDEX(L10:AV10,MATCH(FALSE,ISBLANK(L10:AV10),0))),FIND("=",_xlfn.FORMULATEXT(INDEX(L10:AV10,MATCH(FALSE,ISBLANK(L10:AV10),0))))+1,FIND("!",_xlfn.FORMULATEXT(INDEX(L10:AV10,MATCH(FALSE,ISBLANK(L10:AV10),0))))-2))</f>
        <v>TIM</v>
      </c>
      <c r="E10" t="s">
        <v>1135</v>
      </c>
      <c r="G10" t="str">
        <f>price_label</f>
        <v>£m 23/24 prices</v>
      </c>
      <c r="AU10" s="95">
        <f>TIM!AU41</f>
        <v>15.546827195496746</v>
      </c>
      <c r="AV10" s="69">
        <f>TIM!AV41</f>
        <v>8.6395626446060305</v>
      </c>
      <c r="AW10" s="69">
        <f>TIM!AW41</f>
        <v>8.6395626446060305</v>
      </c>
      <c r="AX10" s="69">
        <f>TIM!AX41</f>
        <v>0</v>
      </c>
      <c r="AY10" s="69">
        <f>TIM!AY41</f>
        <v>0</v>
      </c>
    </row>
    <row r="11" spans="1:56" outlineLevel="1">
      <c r="D11" s="1" t="str" cm="1">
        <f t="array" aca="1" ref="D11" ca="1">IFERROR(MID(_xlfn.FORMULATEXT(I11),FIND("=",_xlfn.FORMULATEXT(I11))+1,FIND("!",_xlfn.FORMULATEXT(I11))-2),MID(_xlfn.FORMULATEXT(INDEX(L11:AV11,MATCH(FALSE,ISBLANK(L11:AV11),0))),FIND("=",_xlfn.FORMULATEXT(INDEX(L11:AV11,MATCH(FALSE,ISBLANK(L11:AV11),0))))+1,FIND("!",_xlfn.FORMULATEXT(INDEX(L11:AV11,MATCH(FALSE,ISBLANK(L11:AV11),0))))-2))</f>
        <v>Transform_TO</v>
      </c>
      <c r="E11" t="s">
        <v>1140</v>
      </c>
      <c r="G11" t="s">
        <v>33</v>
      </c>
      <c r="I11" s="70">
        <f>Transform_TO!I42</f>
        <v>0.39</v>
      </c>
    </row>
    <row r="12" spans="1:56" outlineLevel="1">
      <c r="A12" s="1"/>
      <c r="D12" s="1" t="str" cm="1">
        <f t="array" aca="1" ref="D12" ca="1">IFERROR(MID(_xlfn.FORMULATEXT(I12),FIND("=",_xlfn.FORMULATEXT(I12))+1,FIND("!",_xlfn.FORMULATEXT(I12))-2),MID(_xlfn.FORMULATEXT(INDEX(L12:AV12,MATCH(FALSE,ISBLANK(L12:AV12),0))),FIND("=",_xlfn.FORMULATEXT(INDEX(L12:AV12,MATCH(FALSE,ISBLANK(L12:AV12),0))))+1,FIND("!",_xlfn.FORMULATEXT(INDEX(L12:AV12,MATCH(FALSE,ISBLANK(L12:AV12),0))))-2))</f>
        <v>Transform_TO</v>
      </c>
      <c r="E12" t="s">
        <v>1136</v>
      </c>
      <c r="G12" t="str">
        <f>price_label</f>
        <v>£m 23/24 prices</v>
      </c>
      <c r="AU12" s="95">
        <f>Transform_TO!AU240</f>
        <v>0</v>
      </c>
      <c r="AV12" s="69">
        <f>Transform_TO!AV240</f>
        <v>0</v>
      </c>
      <c r="AW12" s="69">
        <f>Transform_TO!AW240</f>
        <v>0</v>
      </c>
      <c r="AX12" s="69">
        <f>Transform_TO!AX240</f>
        <v>0</v>
      </c>
      <c r="AY12" s="69">
        <f>Transform_TO!AY240</f>
        <v>0</v>
      </c>
    </row>
    <row r="13" spans="1:56" outlineLevel="1">
      <c r="A13" s="1"/>
      <c r="D13" s="1" t="str" cm="1">
        <f t="array" aca="1" ref="D13" ca="1">IFERROR(MID(_xlfn.FORMULATEXT(I13),FIND("=",_xlfn.FORMULATEXT(I13))+1,FIND("!",_xlfn.FORMULATEXT(I13))-2),MID(_xlfn.FORMULATEXT(INDEX(L13:AV13,MATCH(FALSE,ISBLANK(L13:AV13),0))),FIND("=",_xlfn.FORMULATEXT(INDEX(L13:AV13,MATCH(FALSE,ISBLANK(L13:AV13),0))))+1,FIND("!",_xlfn.FORMULATEXT(INDEX(L13:AV13,MATCH(FALSE,ISBLANK(L13:AV13),0))))-2))</f>
        <v>Calculations_SO</v>
      </c>
      <c r="E13" t="s">
        <v>1137</v>
      </c>
      <c r="G13" t="str">
        <f>price_label</f>
        <v>£m 23/24 prices</v>
      </c>
      <c r="AU13" s="95">
        <f>Calculations_SO!AU125</f>
        <v>159.35781724096816</v>
      </c>
      <c r="AV13" s="69">
        <f>Calculations_SO!AV125</f>
        <v>170.10863809845694</v>
      </c>
      <c r="AW13" s="69">
        <f>Calculations_SO!AW125</f>
        <v>180.99480816195617</v>
      </c>
      <c r="AX13" s="69">
        <f>Calculations_SO!AX125</f>
        <v>186.45309684456126</v>
      </c>
      <c r="AY13" s="69">
        <f>Calculations_SO!AY125</f>
        <v>184.83477052665359</v>
      </c>
    </row>
    <row r="14" spans="1:56" outlineLevel="1">
      <c r="A14" s="1"/>
      <c r="D14" s="1" t="str" cm="1">
        <f t="array" aca="1" ref="D14" ca="1">IFERROR(MID(_xlfn.FORMULATEXT(I14),FIND("=",_xlfn.FORMULATEXT(I14))+1,FIND("!",_xlfn.FORMULATEXT(I14))-2),MID(_xlfn.FORMULATEXT(INDEX(L14:AV14,MATCH(FALSE,ISBLANK(L14:AV14),0))),FIND("=",_xlfn.FORMULATEXT(INDEX(L14:AV14,MATCH(FALSE,ISBLANK(L14:AV14),0))))+1,FIND("!",_xlfn.FORMULATEXT(INDEX(L14:AV14,MATCH(FALSE,ISBLANK(L14:AV14),0))))-2))</f>
        <v>Calculations_SO</v>
      </c>
      <c r="E14" t="s">
        <v>1138</v>
      </c>
      <c r="G14" t="str">
        <f>price_label</f>
        <v>£m 23/24 prices</v>
      </c>
      <c r="AU14" s="95">
        <f>Calculations_SO!AU37</f>
        <v>0</v>
      </c>
      <c r="AV14" s="69">
        <f>Calculations_SO!AV37</f>
        <v>0</v>
      </c>
      <c r="AW14" s="69">
        <f>Calculations_SO!AW37</f>
        <v>0</v>
      </c>
      <c r="AX14" s="69">
        <f>Calculations_SO!AX37</f>
        <v>0</v>
      </c>
      <c r="AY14" s="69">
        <f>Calculations_SO!AY37</f>
        <v>0</v>
      </c>
    </row>
    <row r="15" spans="1:56" outlineLevel="1">
      <c r="A15" s="1"/>
      <c r="D15" s="1" t="str" cm="1">
        <f t="array" aca="1" ref="D15" ca="1">IFERROR(MID(_xlfn.FORMULATEXT(I15),FIND("=",_xlfn.FORMULATEXT(I15))+1,FIND("!",_xlfn.FORMULATEXT(I15))-2),MID(_xlfn.FORMULATEXT(INDEX(L15:AV15,MATCH(FALSE,ISBLANK(L15:AV15),0))),FIND("=",_xlfn.FORMULATEXT(INDEX(L15:AV15,MATCH(FALSE,ISBLANK(L15:AV15),0))))+1,FIND("!",_xlfn.FORMULATEXT(INDEX(L15:AV15,MATCH(FALSE,ISBLANK(L15:AV15),0))))-2))</f>
        <v>Transform_SO</v>
      </c>
      <c r="E15" t="s">
        <v>1139</v>
      </c>
      <c r="I15" s="70">
        <f>Transform_SO!I21</f>
        <v>0.39</v>
      </c>
    </row>
    <row r="16" spans="1:56" outlineLevel="1">
      <c r="A16" s="1"/>
      <c r="D16" s="1" t="str" cm="1">
        <f t="array" aca="1" ref="D16" ca="1">IFERROR(MID(_xlfn.FORMULATEXT(I16),FIND("=",_xlfn.FORMULATEXT(I16))+1,FIND("!",_xlfn.FORMULATEXT(I16))-2),MID(_xlfn.FORMULATEXT(INDEX(L16:AV16,MATCH(FALSE,ISBLANK(L16:AV16),0))),FIND("=",_xlfn.FORMULATEXT(INDEX(L16:AV16,MATCH(FALSE,ISBLANK(L16:AV16),0))))+1,FIND("!",_xlfn.FORMULATEXT(INDEX(L16:AV16,MATCH(FALSE,ISBLANK(L16:AV16),0))))-2))</f>
        <v>Transform_SO</v>
      </c>
      <c r="E16" t="s">
        <v>1141</v>
      </c>
      <c r="AU16" s="95">
        <f>Transform_SO!AU66</f>
        <v>0</v>
      </c>
      <c r="AV16" s="69">
        <f>Transform_SO!AV66</f>
        <v>0</v>
      </c>
      <c r="AW16" s="69">
        <f>Transform_SO!AW66</f>
        <v>0</v>
      </c>
      <c r="AX16" s="69">
        <f>Transform_SO!AX66</f>
        <v>0</v>
      </c>
      <c r="AY16" s="69">
        <f>Transform_SO!AY66</f>
        <v>0</v>
      </c>
    </row>
    <row r="17" spans="1:58" outlineLevel="1">
      <c r="A17" s="1"/>
      <c r="D17" s="1" t="str" cm="1">
        <f t="array" aca="1" ref="D17" ca="1">IFERROR(MID(_xlfn.FORMULATEXT(I17),FIND("=",_xlfn.FORMULATEXT(I17))+1,FIND("!",_xlfn.FORMULATEXT(I17))-2),MID(_xlfn.FORMULATEXT(INDEX(L17:AV17,MATCH(FALSE,ISBLANK(L17:AV17),0))),FIND("=",_xlfn.FORMULATEXT(INDEX(L17:AV17,MATCH(FALSE,ISBLANK(L17:AV17),0))))+1,FIND("!",_xlfn.FORMULATEXT(INDEX(L17:AV17,MATCH(FALSE,ISBLANK(L17:AV17),0))))-2))</f>
        <v>Transform_TO</v>
      </c>
      <c r="E17" t="s">
        <v>560</v>
      </c>
      <c r="G17" t="s">
        <v>33</v>
      </c>
      <c r="I17" s="70">
        <f>Transform_TO!I243</f>
        <v>0.03</v>
      </c>
    </row>
    <row r="18" spans="1:58" outlineLevel="1">
      <c r="D18" s="1" t="str" cm="1">
        <f t="array" aca="1" ref="D18" ca="1">IFERROR(MID(_xlfn.FORMULATEXT(I18),FIND("=",_xlfn.FORMULATEXT(I18))+1,FIND("!",_xlfn.FORMULATEXT(I18))-2),MID(_xlfn.FORMULATEXT(INDEX(L18:AV18,MATCH(FALSE,ISBLANK(L18:AV18),0))),FIND("=",_xlfn.FORMULATEXT(INDEX(L18:AV18,MATCH(FALSE,ISBLANK(L18:AV18),0))))+1,FIND("!",_xlfn.FORMULATEXT(INDEX(L18:AV18,MATCH(FALSE,ISBLANK(L18:AV18),0))))-2))</f>
        <v>Transform_TO</v>
      </c>
      <c r="E18" t="s">
        <v>561</v>
      </c>
      <c r="G18" t="s">
        <v>33</v>
      </c>
      <c r="I18" s="70">
        <f>Transform_TO!I244</f>
        <v>0.04</v>
      </c>
    </row>
    <row r="19" spans="1:58" outlineLevel="1">
      <c r="D19" s="1" t="str" cm="1">
        <f t="array" aca="1" ref="D19" ca="1">IFERROR(MID(_xlfn.FORMULATEXT(I19),FIND("=",_xlfn.FORMULATEXT(I19))+1,FIND("!",_xlfn.FORMULATEXT(I19))-2),MID(_xlfn.FORMULATEXT(INDEX(L19:AV19,MATCH(FALSE,ISBLANK(L19:AV19),0))),FIND("=",_xlfn.FORMULATEXT(INDEX(L19:AV19,MATCH(FALSE,ISBLANK(L19:AV19),0))))+1,FIND("!",_xlfn.FORMULATEXT(INDEX(L19:AV19,MATCH(FALSE,ISBLANK(L19:AV19),0))))-2))</f>
        <v>Transform_TO</v>
      </c>
      <c r="E19" t="s">
        <v>562</v>
      </c>
      <c r="G19" t="s">
        <v>33</v>
      </c>
      <c r="I19" s="70">
        <f>Transform_TO!I245</f>
        <v>0.5</v>
      </c>
    </row>
    <row r="20" spans="1:58" s="1" customFormat="1" outlineLevel="1">
      <c r="A20"/>
      <c r="B20"/>
      <c r="C20"/>
      <c r="D20" s="1" t="str" cm="1">
        <f t="array" aca="1" ref="D20" ca="1">IFERROR(MID(_xlfn.FORMULATEXT(I20),FIND("=",_xlfn.FORMULATEXT(I20))+1,FIND("!",_xlfn.FORMULATEXT(I20))-2),MID(_xlfn.FORMULATEXT(INDEX(L20:AV20,MATCH(FALSE,ISBLANK(L20:AV20),0))),FIND("=",_xlfn.FORMULATEXT(INDEX(L20:AV20,MATCH(FALSE,ISBLANK(L20:AV20),0))))+1,FIND("!",_xlfn.FORMULATEXT(INDEX(L20:AV20,MATCH(FALSE,ISBLANK(L20:AV20),0))))-2))</f>
        <v>Transform_TO</v>
      </c>
      <c r="E20" t="s">
        <v>563</v>
      </c>
      <c r="F20"/>
      <c r="G20" t="s">
        <v>33</v>
      </c>
      <c r="H20"/>
      <c r="I20" s="70">
        <f>Transform_TO!I246</f>
        <v>0.9</v>
      </c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 s="77"/>
      <c r="AU20"/>
      <c r="AV20"/>
      <c r="AW20"/>
      <c r="AX20"/>
      <c r="AY20"/>
      <c r="AZ20"/>
      <c r="BA20" s="44"/>
      <c r="BD20"/>
      <c r="BE20"/>
      <c r="BF20" s="8"/>
    </row>
    <row r="21" spans="1:58" s="1" customForma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 s="77"/>
      <c r="AU21"/>
      <c r="AV21"/>
      <c r="AW21"/>
      <c r="AX21"/>
      <c r="AY21"/>
      <c r="AZ21"/>
      <c r="BA21" s="44"/>
      <c r="BD21"/>
      <c r="BE21"/>
      <c r="BF21" s="8"/>
    </row>
    <row r="22" spans="1:58" s="1" customFormat="1" ht="20" thickBot="1">
      <c r="A22" s="15" t="s">
        <v>579</v>
      </c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 s="77"/>
      <c r="AU22"/>
      <c r="AV22"/>
      <c r="AW22"/>
      <c r="AX22"/>
      <c r="AY22"/>
      <c r="AZ22"/>
      <c r="BD22"/>
      <c r="BE22"/>
      <c r="BF22" s="8"/>
    </row>
    <row r="23" spans="1:58" ht="17" thickTop="1">
      <c r="E23" t="s">
        <v>811</v>
      </c>
      <c r="F23" t="s">
        <v>886</v>
      </c>
      <c r="G23" t="str">
        <f>price_label</f>
        <v>£m 23/24 prices</v>
      </c>
      <c r="H23" t="s">
        <v>947</v>
      </c>
      <c r="AU23" s="96">
        <f>SUM(AU8,AU13)</f>
        <v>7385.1294254245804</v>
      </c>
      <c r="AV23" s="61">
        <f t="shared" ref="AV23:AY23" si="0">SUM(AV8,AV13)</f>
        <v>7610.3712824170534</v>
      </c>
      <c r="AW23" s="61">
        <f t="shared" si="0"/>
        <v>7925.1811844182002</v>
      </c>
      <c r="AX23" s="61">
        <f t="shared" si="0"/>
        <v>8107.4819054910176</v>
      </c>
      <c r="AY23" s="61">
        <f t="shared" si="0"/>
        <v>8110.1476505196833</v>
      </c>
      <c r="BA23" s="44" t="str">
        <f ca="1">$A$1</f>
        <v>ReturnAdj</v>
      </c>
      <c r="BB23" s="1" t="str">
        <f>$A$22</f>
        <v>RAV base</v>
      </c>
      <c r="BC23"/>
      <c r="BF23"/>
    </row>
    <row r="24" spans="1:58" s="1" customFormat="1">
      <c r="A24"/>
      <c r="B24"/>
      <c r="C24"/>
      <c r="D24"/>
      <c r="E24" t="s">
        <v>802</v>
      </c>
      <c r="F24"/>
      <c r="G24" t="str">
        <f>price_label</f>
        <v>£m 23/24 prices</v>
      </c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 s="77"/>
      <c r="AU24" s="96">
        <f>(1-AU7)*AU23</f>
        <v>2954.0517701698323</v>
      </c>
      <c r="AV24" s="61">
        <f t="shared" ref="AV24:AY24" si="1">(1-AV7)*AV23</f>
        <v>3044.1485129668217</v>
      </c>
      <c r="AW24" s="61">
        <f t="shared" si="1"/>
        <v>3170.0724737672804</v>
      </c>
      <c r="AX24" s="61">
        <f t="shared" si="1"/>
        <v>3242.9927621964071</v>
      </c>
      <c r="AY24" s="61">
        <f t="shared" si="1"/>
        <v>3244.0590602078737</v>
      </c>
      <c r="AZ24"/>
      <c r="BA24" s="44" t="str">
        <f ca="1">$A$1</f>
        <v>ReturnAdj</v>
      </c>
      <c r="BB24" s="1" t="str">
        <f>$A$22</f>
        <v>RAV base</v>
      </c>
      <c r="BD24"/>
      <c r="BE24"/>
      <c r="BF24" s="8"/>
    </row>
    <row r="25" spans="1:58">
      <c r="E25" t="s">
        <v>564</v>
      </c>
      <c r="G25" t="str">
        <f>price_label</f>
        <v>£m 23/24 prices</v>
      </c>
      <c r="I25" s="61">
        <f>SUM(AU24:AY24)</f>
        <v>15655.324579308215</v>
      </c>
      <c r="BA25" s="44" t="str">
        <f t="shared" ref="BA25" ca="1" si="2">$A$1</f>
        <v>ReturnAdj</v>
      </c>
      <c r="BB25" s="1" t="str">
        <f t="shared" ref="BB25" si="3">$A$22</f>
        <v>RAV base</v>
      </c>
    </row>
    <row r="26" spans="1:58">
      <c r="BA26" s="44"/>
    </row>
    <row r="27" spans="1:58" ht="20" thickBot="1">
      <c r="A27" s="15" t="s">
        <v>565</v>
      </c>
      <c r="BA27" s="44"/>
    </row>
    <row r="28" spans="1:58" ht="16.5" thickTop="1">
      <c r="E28" t="s">
        <v>800</v>
      </c>
      <c r="G28" t="str">
        <f>price_label</f>
        <v>£m 23/24 prices</v>
      </c>
      <c r="AU28" s="96">
        <f>-SUM(AU9,AU10)*$I$11</f>
        <v>-5.873263054134723</v>
      </c>
      <c r="AV28" s="61">
        <f>-SUM(AV9,AV10)*$I$11</f>
        <v>-2.6631201475414481</v>
      </c>
      <c r="AW28" s="61">
        <f>-SUM(AW9,AW10)*$I$11</f>
        <v>-1.8165767212202115</v>
      </c>
      <c r="AX28" s="61">
        <f>-SUM(AX9,AX10)*$I$11</f>
        <v>0.26409299158306909</v>
      </c>
      <c r="AY28" s="61">
        <f>-SUM(AY9,AY10)*$I$11</f>
        <v>7.5546227690210805E-4</v>
      </c>
      <c r="BA28" s="44" t="str">
        <f ca="1">$A$1</f>
        <v>ReturnAdj</v>
      </c>
      <c r="BB28" s="1" t="str">
        <f>$A$27</f>
        <v>Operational performance</v>
      </c>
    </row>
    <row r="29" spans="1:58">
      <c r="E29" t="s">
        <v>801</v>
      </c>
      <c r="G29" t="str">
        <f>price_label</f>
        <v>£m 23/24 prices</v>
      </c>
      <c r="AU29" s="96">
        <f>-AU14*$I$15</f>
        <v>0</v>
      </c>
      <c r="AV29" s="61">
        <f t="shared" ref="AV29:AY29" si="4">-AV14*$I$15</f>
        <v>0</v>
      </c>
      <c r="AW29" s="61">
        <f t="shared" si="4"/>
        <v>0</v>
      </c>
      <c r="AX29" s="61">
        <f t="shared" si="4"/>
        <v>0</v>
      </c>
      <c r="AY29" s="61">
        <f t="shared" si="4"/>
        <v>0</v>
      </c>
      <c r="BA29" s="44" t="str">
        <f ca="1">$A$1</f>
        <v>ReturnAdj</v>
      </c>
      <c r="BB29" s="1" t="str">
        <f>$A$27</f>
        <v>Operational performance</v>
      </c>
    </row>
    <row r="30" spans="1:58">
      <c r="E30" t="s">
        <v>804</v>
      </c>
      <c r="G30" t="str">
        <f>price_label</f>
        <v>£m 23/24 prices</v>
      </c>
      <c r="AU30" s="97">
        <f>AU12</f>
        <v>0</v>
      </c>
      <c r="AV30" s="38">
        <f>AV12</f>
        <v>0</v>
      </c>
      <c r="AW30" s="38">
        <f>AW12</f>
        <v>0</v>
      </c>
      <c r="AX30" s="38">
        <f>AX12</f>
        <v>0</v>
      </c>
      <c r="AY30" s="38">
        <f>AY12</f>
        <v>0</v>
      </c>
      <c r="BA30" s="44" t="str">
        <f ca="1">$A$1</f>
        <v>ReturnAdj</v>
      </c>
      <c r="BB30" s="1" t="str">
        <f>$A$27</f>
        <v>Operational performance</v>
      </c>
    </row>
    <row r="31" spans="1:58">
      <c r="E31" t="s">
        <v>803</v>
      </c>
      <c r="G31" t="str">
        <f>price_label</f>
        <v>£m 23/24 prices</v>
      </c>
      <c r="AU31" s="97">
        <f>AU16</f>
        <v>0</v>
      </c>
      <c r="AV31" s="38">
        <f t="shared" ref="AV31:AY31" si="5">AV16</f>
        <v>0</v>
      </c>
      <c r="AW31" s="38">
        <f t="shared" si="5"/>
        <v>0</v>
      </c>
      <c r="AX31" s="38">
        <f t="shared" si="5"/>
        <v>0</v>
      </c>
      <c r="AY31" s="38">
        <f t="shared" si="5"/>
        <v>0</v>
      </c>
      <c r="BA31" s="44" t="str">
        <f ca="1">$A$1</f>
        <v>ReturnAdj</v>
      </c>
      <c r="BB31" s="1" t="str">
        <f>$A$27</f>
        <v>Operational performance</v>
      </c>
    </row>
    <row r="32" spans="1:58">
      <c r="E32" t="s">
        <v>565</v>
      </c>
      <c r="G32" t="str">
        <f>price_label</f>
        <v>£m 23/24 prices</v>
      </c>
      <c r="AU32" s="141">
        <f>SUM(AU28:AU31)</f>
        <v>-5.873263054134723</v>
      </c>
      <c r="AV32" s="65">
        <f t="shared" ref="AV32:AY32" si="6">SUM(AV28:AV31)</f>
        <v>-2.6631201475414481</v>
      </c>
      <c r="AW32" s="65">
        <f t="shared" si="6"/>
        <v>-1.8165767212202115</v>
      </c>
      <c r="AX32" s="65">
        <f t="shared" si="6"/>
        <v>0.26409299158306909</v>
      </c>
      <c r="AY32" s="65">
        <f t="shared" si="6"/>
        <v>7.5546227690210805E-4</v>
      </c>
      <c r="BA32" s="44" t="str">
        <f ca="1">$A$1</f>
        <v>ReturnAdj</v>
      </c>
      <c r="BB32" s="1" t="str">
        <f>$A$27</f>
        <v>Operational performance</v>
      </c>
    </row>
    <row r="33" spans="1:58">
      <c r="BA33" s="44"/>
    </row>
    <row r="34" spans="1:58">
      <c r="E34" t="s">
        <v>566</v>
      </c>
      <c r="F34" t="s">
        <v>886</v>
      </c>
      <c r="G34" t="str">
        <f>price_label</f>
        <v>£m 23/24 prices</v>
      </c>
      <c r="H34" t="s">
        <v>808</v>
      </c>
      <c r="I34" s="62">
        <f>SUM(AU32:AY32)/SUM(AU24:AY24)</f>
        <v>-6.4438852212428475E-4</v>
      </c>
      <c r="BA34" s="44" t="str">
        <f ca="1">$A$1</f>
        <v>ReturnAdj</v>
      </c>
      <c r="BB34" s="1" t="str">
        <f>$A$27</f>
        <v>Operational performance</v>
      </c>
    </row>
    <row r="35" spans="1:58">
      <c r="BA35" s="44"/>
    </row>
    <row r="36" spans="1:58" ht="20" thickBot="1">
      <c r="A36" s="15" t="s">
        <v>580</v>
      </c>
      <c r="BA36" s="44"/>
    </row>
    <row r="37" spans="1:58" ht="18" thickTop="1" thickBot="1">
      <c r="B37" s="17" t="s">
        <v>581</v>
      </c>
      <c r="BA37" s="44"/>
    </row>
    <row r="38" spans="1:58" ht="16.5" thickTop="1">
      <c r="E38" t="s">
        <v>567</v>
      </c>
      <c r="G38" t="s">
        <v>783</v>
      </c>
      <c r="I38" s="61" t="b">
        <f>$I$34&gt;=0</f>
        <v>0</v>
      </c>
      <c r="BA38" s="44" t="str">
        <f ca="1">$A$1</f>
        <v>ReturnAdj</v>
      </c>
      <c r="BB38" s="1" t="str">
        <f>$A$36</f>
        <v>Return adjustment calculation</v>
      </c>
      <c r="BC38" s="1" t="str">
        <f>$B$37</f>
        <v>Postive operational performance</v>
      </c>
    </row>
    <row r="39" spans="1:58">
      <c r="BA39" s="44"/>
    </row>
    <row r="40" spans="1:58">
      <c r="E40" t="s">
        <v>568</v>
      </c>
      <c r="G40" t="str">
        <f>price_label</f>
        <v>£m 23/24 prices</v>
      </c>
      <c r="I40" s="62">
        <f>I38*MAX(MIN(I34,I18)-I17,0)*I19</f>
        <v>0</v>
      </c>
      <c r="BA40" s="44" t="str">
        <f ca="1">$A$1</f>
        <v>ReturnAdj</v>
      </c>
      <c r="BB40" s="1" t="str">
        <f>$A$36</f>
        <v>Return adjustment calculation</v>
      </c>
      <c r="BC40" s="1" t="str">
        <f>$B$37</f>
        <v>Postive operational performance</v>
      </c>
    </row>
    <row r="41" spans="1:58">
      <c r="E41" t="s">
        <v>569</v>
      </c>
      <c r="G41" t="str">
        <f>price_label</f>
        <v>£m 23/24 prices</v>
      </c>
      <c r="I41" s="62">
        <f>I38*MAX(I34-I18,0)*I20</f>
        <v>0</v>
      </c>
      <c r="BA41" s="44" t="str">
        <f ca="1">$A$1</f>
        <v>ReturnAdj</v>
      </c>
      <c r="BB41" s="1" t="str">
        <f>$A$36</f>
        <v>Return adjustment calculation</v>
      </c>
      <c r="BC41" s="1" t="str">
        <f>$B$37</f>
        <v>Postive operational performance</v>
      </c>
    </row>
    <row r="42" spans="1:58">
      <c r="BA42" s="44"/>
    </row>
    <row r="43" spans="1:58" ht="14.5">
      <c r="E43" t="s">
        <v>585</v>
      </c>
      <c r="G43" t="str">
        <f>price_label</f>
        <v>£m 23/24 prices</v>
      </c>
      <c r="I43" s="61">
        <f>$I$25*-SUM(I40:I41)</f>
        <v>0</v>
      </c>
      <c r="BA43" s="44" t="str">
        <f ca="1">$A$1</f>
        <v>ReturnAdj</v>
      </c>
      <c r="BB43" s="1" t="str">
        <f>$A$36</f>
        <v>Return adjustment calculation</v>
      </c>
      <c r="BC43" s="1" t="str">
        <f>$B$37</f>
        <v>Postive operational performance</v>
      </c>
      <c r="BF43"/>
    </row>
    <row r="44" spans="1:58">
      <c r="BA44" s="44"/>
    </row>
    <row r="45" spans="1:58" ht="17.5" thickBot="1">
      <c r="B45" s="17" t="s">
        <v>582</v>
      </c>
      <c r="BA45" s="44"/>
    </row>
    <row r="46" spans="1:58" ht="16.5" thickTop="1">
      <c r="E46" t="s">
        <v>571</v>
      </c>
      <c r="G46" t="s">
        <v>783</v>
      </c>
      <c r="I46" s="61" t="b">
        <f>$I$34&lt;0</f>
        <v>1</v>
      </c>
      <c r="BA46" s="44" t="str">
        <f ca="1">$A$1</f>
        <v>ReturnAdj</v>
      </c>
      <c r="BB46" s="1" t="str">
        <f>$A$36</f>
        <v>Return adjustment calculation</v>
      </c>
      <c r="BC46" s="1" t="str">
        <f>$B$45</f>
        <v>Negative operational performance</v>
      </c>
    </row>
    <row r="47" spans="1:58">
      <c r="BA47" s="44"/>
    </row>
    <row r="48" spans="1:58">
      <c r="E48" t="s">
        <v>568</v>
      </c>
      <c r="G48" t="str">
        <f>price_label</f>
        <v>£m 23/24 prices</v>
      </c>
      <c r="I48" s="62">
        <f>I46*MAX(MIN(-I34,I18)-I17,0)*I19</f>
        <v>0</v>
      </c>
      <c r="BA48" s="44" t="str">
        <f t="shared" ref="BA48:BA49" ca="1" si="7">$A$1</f>
        <v>ReturnAdj</v>
      </c>
      <c r="BB48" s="1" t="str">
        <f t="shared" ref="BB48:BB49" si="8">$A$36</f>
        <v>Return adjustment calculation</v>
      </c>
      <c r="BC48" s="1" t="str">
        <f t="shared" ref="BC48:BC49" si="9">$B$45</f>
        <v>Negative operational performance</v>
      </c>
    </row>
    <row r="49" spans="1:55">
      <c r="E49" t="s">
        <v>569</v>
      </c>
      <c r="G49" t="str">
        <f>price_label</f>
        <v>£m 23/24 prices</v>
      </c>
      <c r="I49" s="62">
        <f>I46*MAX(-I34-I18,0)*I20</f>
        <v>0</v>
      </c>
      <c r="BA49" s="44" t="str">
        <f t="shared" ca="1" si="7"/>
        <v>ReturnAdj</v>
      </c>
      <c r="BB49" s="1" t="str">
        <f t="shared" si="8"/>
        <v>Return adjustment calculation</v>
      </c>
      <c r="BC49" s="1" t="str">
        <f t="shared" si="9"/>
        <v>Negative operational performance</v>
      </c>
    </row>
    <row r="50" spans="1:55">
      <c r="BA50" s="44"/>
    </row>
    <row r="51" spans="1:55">
      <c r="E51" t="s">
        <v>586</v>
      </c>
      <c r="G51" t="str">
        <f>price_label</f>
        <v>£m 23/24 prices</v>
      </c>
      <c r="I51" s="61">
        <f>$I$25*SUM(I48:I49)</f>
        <v>0</v>
      </c>
      <c r="BA51" s="44" t="str">
        <f ca="1">$A$1</f>
        <v>ReturnAdj</v>
      </c>
      <c r="BB51" s="1" t="str">
        <f>$A$36</f>
        <v>Return adjustment calculation</v>
      </c>
      <c r="BC51" s="1" t="str">
        <f>$B$45</f>
        <v>Negative operational performance</v>
      </c>
    </row>
    <row r="52" spans="1:55">
      <c r="BA52" s="44"/>
    </row>
    <row r="53" spans="1:55" ht="17.5" thickBot="1">
      <c r="B53" s="17" t="s">
        <v>583</v>
      </c>
      <c r="BA53" s="44"/>
    </row>
    <row r="54" spans="1:55" ht="16.5" thickTop="1">
      <c r="E54" t="s">
        <v>570</v>
      </c>
      <c r="F54" t="s">
        <v>886</v>
      </c>
      <c r="G54" t="str">
        <f>price_label</f>
        <v>£m 23/24 prices</v>
      </c>
      <c r="H54" t="s">
        <v>809</v>
      </c>
      <c r="I54" s="61">
        <f>SUM(I43,I51)</f>
        <v>0</v>
      </c>
      <c r="BA54" s="44" t="str">
        <f ca="1">$A$1</f>
        <v>ReturnAdj</v>
      </c>
      <c r="BB54" s="1" t="str">
        <f>$A$36</f>
        <v>Return adjustment calculation</v>
      </c>
      <c r="BC54" s="1" t="str">
        <f>$B$53</f>
        <v>Annual return adjustment calculation</v>
      </c>
    </row>
    <row r="55" spans="1:55">
      <c r="BA55" s="44"/>
    </row>
    <row r="56" spans="1:55">
      <c r="E56" t="s">
        <v>572</v>
      </c>
      <c r="G56" t="s">
        <v>33</v>
      </c>
      <c r="AU56" s="144">
        <f>AU24/$I$25</f>
        <v>0.18869310279738494</v>
      </c>
      <c r="AV56" s="62">
        <f>AV24/$I$25</f>
        <v>0.19444812514397181</v>
      </c>
      <c r="AW56" s="62">
        <f>AW24/$I$25</f>
        <v>0.20249164798264188</v>
      </c>
      <c r="AX56" s="62">
        <f>AX24/$I$25</f>
        <v>0.20714950659551959</v>
      </c>
      <c r="AY56" s="62">
        <f>AY24/$I$25</f>
        <v>0.20721761748048176</v>
      </c>
      <c r="BA56" s="44" t="str">
        <f ca="1">$A$1</f>
        <v>ReturnAdj</v>
      </c>
      <c r="BB56" s="1" t="str">
        <f>$A$36</f>
        <v>Return adjustment calculation</v>
      </c>
      <c r="BC56" s="1" t="str">
        <f>$B$53</f>
        <v>Annual return adjustment calculation</v>
      </c>
    </row>
    <row r="57" spans="1:55">
      <c r="BA57" s="44"/>
    </row>
    <row r="58" spans="1:55" ht="16.5">
      <c r="E58" t="s">
        <v>232</v>
      </c>
      <c r="F58" t="s">
        <v>886</v>
      </c>
      <c r="G58" t="str">
        <f>price_label</f>
        <v>£m 23/24 prices</v>
      </c>
      <c r="H58" t="s">
        <v>948</v>
      </c>
      <c r="AU58" s="96">
        <f>$I$54*AU56</f>
        <v>0</v>
      </c>
      <c r="AV58" s="61">
        <f t="shared" ref="AV58:AY58" si="10">$I$54*AV56</f>
        <v>0</v>
      </c>
      <c r="AW58" s="61">
        <f t="shared" si="10"/>
        <v>0</v>
      </c>
      <c r="AX58" s="61">
        <f t="shared" si="10"/>
        <v>0</v>
      </c>
      <c r="AY58" s="61">
        <f t="shared" si="10"/>
        <v>0</v>
      </c>
      <c r="BA58" s="44" t="str">
        <f ca="1">$A$1</f>
        <v>ReturnAdj</v>
      </c>
      <c r="BB58" s="1" t="str">
        <f>$A$36</f>
        <v>Return adjustment calculation</v>
      </c>
      <c r="BC58" s="1" t="str">
        <f>$B$53</f>
        <v>Annual return adjustment calculation</v>
      </c>
    </row>
    <row r="59" spans="1:55">
      <c r="BA59" s="44"/>
    </row>
    <row r="60" spans="1:55" ht="20" thickBot="1">
      <c r="A60" s="15" t="s">
        <v>584</v>
      </c>
      <c r="BA60" s="44"/>
    </row>
    <row r="61" spans="1:55" ht="16.5" thickTop="1">
      <c r="BA61" s="44"/>
    </row>
    <row r="62" spans="1:55">
      <c r="E62" t="s">
        <v>565</v>
      </c>
      <c r="G62" t="str">
        <f>price_label</f>
        <v>£m 23/24 prices</v>
      </c>
      <c r="AU62" s="97">
        <f>AU32</f>
        <v>-5.873263054134723</v>
      </c>
      <c r="AV62" s="38">
        <f>AV32</f>
        <v>-2.6631201475414481</v>
      </c>
      <c r="AW62" s="38">
        <f>AW32</f>
        <v>-1.8165767212202115</v>
      </c>
      <c r="AX62" s="38">
        <f>AX32</f>
        <v>0.26409299158306909</v>
      </c>
      <c r="AY62" s="38">
        <f>AY32</f>
        <v>7.5546227690210805E-4</v>
      </c>
      <c r="BA62" s="44" t="str">
        <f ca="1">$A$1</f>
        <v>ReturnAdj</v>
      </c>
      <c r="BB62" s="1" t="str">
        <f>$A$60</f>
        <v>Outperformance after return adjustment (FYI only)</v>
      </c>
    </row>
    <row r="63" spans="1:55">
      <c r="E63" t="s">
        <v>232</v>
      </c>
      <c r="G63" t="str">
        <f>price_label</f>
        <v>£m 23/24 prices</v>
      </c>
      <c r="AU63" s="97">
        <f>AU58</f>
        <v>0</v>
      </c>
      <c r="AV63" s="38">
        <f t="shared" ref="AV63:AY63" si="11">AV58</f>
        <v>0</v>
      </c>
      <c r="AW63" s="38">
        <f t="shared" si="11"/>
        <v>0</v>
      </c>
      <c r="AX63" s="38">
        <f t="shared" si="11"/>
        <v>0</v>
      </c>
      <c r="AY63" s="38">
        <f t="shared" si="11"/>
        <v>0</v>
      </c>
      <c r="BA63" s="44" t="str">
        <f ca="1">$A$1</f>
        <v>ReturnAdj</v>
      </c>
      <c r="BB63" s="1" t="str">
        <f>$A$60</f>
        <v>Outperformance after return adjustment (FYI only)</v>
      </c>
    </row>
    <row r="64" spans="1:55">
      <c r="E64" t="s">
        <v>573</v>
      </c>
      <c r="G64" t="str">
        <f>price_label</f>
        <v>£m 23/24 prices</v>
      </c>
      <c r="AU64" s="141">
        <f>SUM(AU62:AU63)</f>
        <v>-5.873263054134723</v>
      </c>
      <c r="AV64" s="65">
        <f t="shared" ref="AV64:AY64" si="12">SUM(AV62:AV63)</f>
        <v>-2.6631201475414481</v>
      </c>
      <c r="AW64" s="65">
        <f t="shared" si="12"/>
        <v>-1.8165767212202115</v>
      </c>
      <c r="AX64" s="65">
        <f t="shared" si="12"/>
        <v>0.26409299158306909</v>
      </c>
      <c r="AY64" s="65">
        <f t="shared" si="12"/>
        <v>7.5546227690210805E-4</v>
      </c>
      <c r="BA64" s="44" t="str">
        <f ca="1">$A$1</f>
        <v>ReturnAdj</v>
      </c>
      <c r="BB64" s="1" t="str">
        <f>$A$60</f>
        <v>Outperformance after return adjustment (FYI only)</v>
      </c>
    </row>
    <row r="65" spans="1:54">
      <c r="BA65" s="44"/>
    </row>
    <row r="66" spans="1:54">
      <c r="E66" t="s">
        <v>566</v>
      </c>
      <c r="G66" t="str">
        <f>price_label</f>
        <v>£m 23/24 prices</v>
      </c>
      <c r="I66" s="62">
        <f>SUM(AU62:AY62)/$I$25</f>
        <v>-6.4438852212428475E-4</v>
      </c>
      <c r="BA66" s="44" t="str">
        <f t="shared" ref="BA66:BA68" ca="1" si="13">$A$1</f>
        <v>ReturnAdj</v>
      </c>
      <c r="BB66" s="1" t="str">
        <f t="shared" ref="BB66:BB68" si="14">$A$60</f>
        <v>Outperformance after return adjustment (FYI only)</v>
      </c>
    </row>
    <row r="67" spans="1:54">
      <c r="E67" t="s">
        <v>570</v>
      </c>
      <c r="G67" t="str">
        <f>price_label</f>
        <v>£m 23/24 prices</v>
      </c>
      <c r="I67" s="62">
        <f>SUM(AU63:AY63)/$I$25</f>
        <v>0</v>
      </c>
      <c r="BA67" s="44" t="str">
        <f t="shared" ca="1" si="13"/>
        <v>ReturnAdj</v>
      </c>
      <c r="BB67" s="1" t="str">
        <f t="shared" si="14"/>
        <v>Outperformance after return adjustment (FYI only)</v>
      </c>
    </row>
    <row r="68" spans="1:54">
      <c r="E68" t="s">
        <v>574</v>
      </c>
      <c r="G68" t="str">
        <f>price_label</f>
        <v>£m 23/24 prices</v>
      </c>
      <c r="I68" s="62">
        <f>SUM(I66:I67)</f>
        <v>-6.4438852212428475E-4</v>
      </c>
      <c r="BA68" s="44" t="str">
        <f t="shared" ca="1" si="13"/>
        <v>ReturnAdj</v>
      </c>
      <c r="BB68" s="1" t="str">
        <f t="shared" si="14"/>
        <v>Outperformance after return adjustment (FYI only)</v>
      </c>
    </row>
    <row r="69" spans="1:54">
      <c r="BA69" s="44"/>
    </row>
    <row r="70" spans="1:54" ht="20" thickBot="1">
      <c r="A70" s="15" t="s">
        <v>241</v>
      </c>
    </row>
    <row r="71" spans="1:54" ht="16.5" thickTop="1">
      <c r="BA71" s="44"/>
    </row>
    <row r="72" spans="1:54">
      <c r="BA72" s="44"/>
    </row>
    <row r="73" spans="1:54" hidden="1">
      <c r="BA73" s="44"/>
    </row>
    <row r="74" spans="1:54" hidden="1">
      <c r="BA74" s="44"/>
    </row>
    <row r="75" spans="1:54" hidden="1">
      <c r="BA75" s="44"/>
    </row>
    <row r="76" spans="1:54" hidden="1">
      <c r="BA76" s="44"/>
    </row>
    <row r="77" spans="1:54" hidden="1">
      <c r="BA77" s="44"/>
    </row>
    <row r="78" spans="1:54" hidden="1">
      <c r="BA78" s="44"/>
    </row>
    <row r="79" spans="1:54" hidden="1">
      <c r="BA79" s="44"/>
    </row>
    <row r="80" spans="1:54" hidden="1">
      <c r="BA80" s="44"/>
    </row>
    <row r="82" spans="53:53" hidden="1">
      <c r="BA82" s="44"/>
    </row>
    <row r="83" spans="53:53" hidden="1">
      <c r="BA83" s="44"/>
    </row>
    <row r="84" spans="53:53" hidden="1">
      <c r="BA84" s="44"/>
    </row>
    <row r="85" spans="53:53" hidden="1">
      <c r="BA85" s="44"/>
    </row>
    <row r="86" spans="53:53" hidden="1">
      <c r="BA86" s="44"/>
    </row>
    <row r="87" spans="53:53" hidden="1">
      <c r="BA87" s="44"/>
    </row>
    <row r="88" spans="53:53" hidden="1">
      <c r="BA88" s="44"/>
    </row>
    <row r="89" spans="53:53" hidden="1">
      <c r="BA89" s="44"/>
    </row>
    <row r="90" spans="53:53" hidden="1">
      <c r="BA90" s="44"/>
    </row>
    <row r="91" spans="53:53" hidden="1">
      <c r="BA91" s="44"/>
    </row>
    <row r="92" spans="53:53" hidden="1">
      <c r="BA92" s="44"/>
    </row>
    <row r="93" spans="53:53" hidden="1">
      <c r="BA93" s="44"/>
    </row>
    <row r="94" spans="53:53" hidden="1">
      <c r="BA94" s="44"/>
    </row>
    <row r="95" spans="53:53" hidden="1">
      <c r="BA95" s="44"/>
    </row>
    <row r="96" spans="53:53" hidden="1">
      <c r="BA96" s="44"/>
    </row>
    <row r="97" spans="53:53" hidden="1">
      <c r="BA97" s="44"/>
    </row>
    <row r="98" spans="53:53" hidden="1">
      <c r="BA98" s="44"/>
    </row>
    <row r="99" spans="53:53" hidden="1">
      <c r="BA99" s="44"/>
    </row>
    <row r="100" spans="53:53" hidden="1">
      <c r="BA100" s="44"/>
    </row>
    <row r="101" spans="53:53" hidden="1">
      <c r="BA101" s="44"/>
    </row>
    <row r="102" spans="53:53" hidden="1">
      <c r="BA102" s="44"/>
    </row>
    <row r="103" spans="53:53" hidden="1">
      <c r="BA103" s="44"/>
    </row>
  </sheetData>
  <conditionalFormatting sqref="H1">
    <cfRule type="cellIs" dxfId="6" priority="1" operator="equal">
      <formula>"ERROR"</formula>
    </cfRule>
  </conditionalFormatting>
  <pageMargins left="0.7" right="0.7" top="0.75" bottom="0.75" header="0.3" footer="0.3"/>
  <pageSetup paperSize="9" orientation="portrait" r:id="rId1"/>
  <headerFooter>
    <oddFooter>&amp;L_x000D_&amp;1#&amp;"Aptos"&amp;10&amp;K000000 National Gas | Business Use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BF412-EC37-493C-87C2-19E13781437C}">
  <sheetPr codeName="Sheet11">
    <tabColor rgb="FFBAA0CC"/>
    <pageSetUpPr autoPageBreaks="0"/>
  </sheetPr>
  <dimension ref="A1:BJ28"/>
  <sheetViews>
    <sheetView zoomScale="70" zoomScaleNormal="70" workbookViewId="0">
      <pane xSplit="10" ySplit="4" topLeftCell="AL5" activePane="bottomRight" state="frozen"/>
      <selection pane="topRight" activeCell="K1" sqref="K1"/>
      <selection pane="bottomLeft" activeCell="A5" sqref="A5"/>
      <selection pane="bottomRight" activeCell="I26" sqref="I26"/>
    </sheetView>
  </sheetViews>
  <sheetFormatPr defaultColWidth="0" defaultRowHeight="16" zeroHeight="1" outlineLevelCol="1"/>
  <cols>
    <col min="1" max="3" width="1.81640625" customWidth="1"/>
    <col min="4" max="4" width="15.7265625" customWidth="1"/>
    <col min="5" max="5" width="77.26953125" customWidth="1"/>
    <col min="6" max="6" width="8.7265625" customWidth="1"/>
    <col min="7" max="7" width="17.7265625" customWidth="1"/>
    <col min="8" max="8" width="9.7265625" customWidth="1"/>
    <col min="9" max="9" width="11.7265625" customWidth="1"/>
    <col min="10" max="10" width="2.08984375" customWidth="1"/>
    <col min="11" max="45" width="11.7265625" hidden="1" customWidth="1" outlineLevel="1"/>
    <col min="46" max="46" width="11.7265625" style="77" hidden="1" customWidth="1" outlineLevel="1"/>
    <col min="47" max="47" width="11.7265625" customWidth="1" collapsed="1"/>
    <col min="48" max="52" width="11.7265625" customWidth="1"/>
    <col min="53" max="54" width="10.7265625" style="1" customWidth="1"/>
    <col min="55" max="57" width="10.7265625" customWidth="1"/>
    <col min="58" max="58" width="1.7265625" customWidth="1"/>
    <col min="59" max="61" width="10.7265625" hidden="1" customWidth="1"/>
    <col min="62" max="62" width="1.7265625" style="8" hidden="1" customWidth="1"/>
    <col min="63" max="16384" width="9.08984375" hidden="1"/>
  </cols>
  <sheetData>
    <row r="1" spans="1:57" s="119" customFormat="1">
      <c r="A1" s="125" t="str" cm="1">
        <f t="array" aca="1" ref="A1" ca="1">MID(CELL("filename",$A$1),FIND("]",CELL("filename",$A$1))+1,255)</f>
        <v>Revenue_TO</v>
      </c>
      <c r="G1" s="119" t="s">
        <v>515</v>
      </c>
      <c r="H1" s="38" t="str">
        <f ca="1">Checks!I7</f>
        <v>ERROR</v>
      </c>
      <c r="AT1" s="124"/>
      <c r="BA1" s="121"/>
      <c r="BB1" s="121"/>
    </row>
    <row r="2" spans="1:57" s="119" customFormat="1" ht="15" customHeight="1">
      <c r="AT2" s="124"/>
      <c r="BA2" s="121"/>
      <c r="BB2" s="121"/>
    </row>
    <row r="3" spans="1:57" s="119" customFormat="1" ht="15" customHeight="1">
      <c r="E3" s="119" t="s">
        <v>0</v>
      </c>
      <c r="F3" s="119" t="s">
        <v>1</v>
      </c>
      <c r="G3" s="119" t="s">
        <v>2</v>
      </c>
      <c r="H3" s="119" t="s">
        <v>3</v>
      </c>
      <c r="I3" s="119" t="str">
        <f>NGT_TO!I3</f>
        <v>Constant</v>
      </c>
      <c r="AT3" s="124"/>
      <c r="AU3" s="122" t="str">
        <f>NGT_TO!AU3</f>
        <v>Annual values</v>
      </c>
      <c r="BA3" s="121"/>
      <c r="BB3" s="121"/>
    </row>
    <row r="4" spans="1:57" s="119" customFormat="1" ht="15" customHeight="1">
      <c r="E4" s="119" t="s">
        <v>6</v>
      </c>
      <c r="K4" s="122">
        <f>NGT_TO!K4</f>
        <v>33328</v>
      </c>
      <c r="L4" s="122">
        <f>NGT_TO!L4</f>
        <v>33694</v>
      </c>
      <c r="M4" s="122">
        <f>NGT_TO!M4</f>
        <v>34059</v>
      </c>
      <c r="N4" s="122">
        <f>NGT_TO!N4</f>
        <v>34424</v>
      </c>
      <c r="O4" s="122">
        <f>NGT_TO!O4</f>
        <v>34789</v>
      </c>
      <c r="P4" s="122">
        <f>NGT_TO!P4</f>
        <v>35155</v>
      </c>
      <c r="Q4" s="122">
        <f>NGT_TO!Q4</f>
        <v>35520</v>
      </c>
      <c r="R4" s="122">
        <f>NGT_TO!R4</f>
        <v>35885</v>
      </c>
      <c r="S4" s="122">
        <f>NGT_TO!S4</f>
        <v>36250</v>
      </c>
      <c r="T4" s="122">
        <f>NGT_TO!T4</f>
        <v>36616</v>
      </c>
      <c r="U4" s="122">
        <f>NGT_TO!U4</f>
        <v>36981</v>
      </c>
      <c r="V4" s="122">
        <f>NGT_TO!V4</f>
        <v>37346</v>
      </c>
      <c r="W4" s="122">
        <f>NGT_TO!W4</f>
        <v>37711</v>
      </c>
      <c r="X4" s="122">
        <f>NGT_TO!X4</f>
        <v>38077</v>
      </c>
      <c r="Y4" s="122">
        <f>NGT_TO!Y4</f>
        <v>38442</v>
      </c>
      <c r="Z4" s="122">
        <f>NGT_TO!Z4</f>
        <v>38807</v>
      </c>
      <c r="AA4" s="122">
        <f>NGT_TO!AA4</f>
        <v>39172</v>
      </c>
      <c r="AB4" s="122">
        <f>NGT_TO!AB4</f>
        <v>39538</v>
      </c>
      <c r="AC4" s="122">
        <f>NGT_TO!AC4</f>
        <v>39903</v>
      </c>
      <c r="AD4" s="122">
        <f>NGT_TO!AD4</f>
        <v>40268</v>
      </c>
      <c r="AE4" s="122">
        <f>NGT_TO!AE4</f>
        <v>40633</v>
      </c>
      <c r="AF4" s="122">
        <f>NGT_TO!AF4</f>
        <v>40999</v>
      </c>
      <c r="AG4" s="122">
        <f>NGT_TO!AG4</f>
        <v>41364</v>
      </c>
      <c r="AH4" s="122">
        <f>NGT_TO!AH4</f>
        <v>41729</v>
      </c>
      <c r="AI4" s="122">
        <f>NGT_TO!AI4</f>
        <v>42094</v>
      </c>
      <c r="AJ4" s="122">
        <f>NGT_TO!AJ4</f>
        <v>42460</v>
      </c>
      <c r="AK4" s="122">
        <f>NGT_TO!AK4</f>
        <v>42825</v>
      </c>
      <c r="AL4" s="122">
        <f>NGT_TO!AL4</f>
        <v>43190</v>
      </c>
      <c r="AM4" s="122">
        <f>NGT_TO!AM4</f>
        <v>43555</v>
      </c>
      <c r="AN4" s="122">
        <f>NGT_TO!AN4</f>
        <v>43921</v>
      </c>
      <c r="AO4" s="122">
        <f>NGT_TO!AO4</f>
        <v>44286</v>
      </c>
      <c r="AP4" s="122">
        <f>NGT_TO!AP4</f>
        <v>44651</v>
      </c>
      <c r="AQ4" s="122">
        <f>NGT_TO!AQ4</f>
        <v>45016</v>
      </c>
      <c r="AR4" s="122">
        <f>NGT_TO!AR4</f>
        <v>45382</v>
      </c>
      <c r="AS4" s="122">
        <f>NGT_TO!AS4</f>
        <v>45747</v>
      </c>
      <c r="AT4" s="123">
        <f>NGT_TO!AT4</f>
        <v>46112</v>
      </c>
      <c r="AU4" s="122">
        <f>NGT_TO!AU4</f>
        <v>46477</v>
      </c>
      <c r="AV4" s="122">
        <f>NGT_TO!AV4</f>
        <v>46843</v>
      </c>
      <c r="AW4" s="122">
        <f>NGT_TO!AW4</f>
        <v>47208</v>
      </c>
      <c r="AX4" s="122">
        <f>NGT_TO!AX4</f>
        <v>47573</v>
      </c>
      <c r="AY4" s="122">
        <f>NGT_TO!AY4</f>
        <v>47938</v>
      </c>
      <c r="BA4" s="127" t="s">
        <v>527</v>
      </c>
      <c r="BB4" s="127" t="s">
        <v>528</v>
      </c>
      <c r="BC4" s="127" t="s">
        <v>529</v>
      </c>
      <c r="BD4" s="127" t="s">
        <v>530</v>
      </c>
    </row>
    <row r="5" spans="1:57">
      <c r="AP5" s="1"/>
      <c r="AQ5" s="1"/>
      <c r="AR5" s="1"/>
      <c r="AS5" s="1"/>
      <c r="AT5" s="100"/>
    </row>
    <row r="6" spans="1:57" ht="20" thickBot="1">
      <c r="A6" s="15" t="s">
        <v>229</v>
      </c>
    </row>
    <row r="7" spans="1:57" ht="17" thickTop="1">
      <c r="E7" t="s">
        <v>315</v>
      </c>
      <c r="G7" t="str">
        <f t="shared" ref="G7:G24" si="0">price_label</f>
        <v>£m 23/24 prices</v>
      </c>
      <c r="H7" t="s">
        <v>949</v>
      </c>
      <c r="AU7" s="97">
        <f>TIM!AU61</f>
        <v>250.32697937412337</v>
      </c>
      <c r="AV7" s="38">
        <f>TIM!AV61</f>
        <v>272.46034165671307</v>
      </c>
      <c r="AW7" s="38">
        <f>TIM!AW61</f>
        <v>284.2025441080558</v>
      </c>
      <c r="AX7" s="38">
        <f>TIM!AX61</f>
        <v>241.08376824907589</v>
      </c>
      <c r="AY7" s="38">
        <f>TIM!AY61</f>
        <v>247.68397602385511</v>
      </c>
      <c r="BA7" s="44" t="str">
        <f ca="1">$A$1</f>
        <v>Revenue_TO</v>
      </c>
      <c r="BB7" s="44" t="str">
        <f>$A$6</f>
        <v>Revenue</v>
      </c>
      <c r="BC7" s="128"/>
      <c r="BE7" s="129"/>
    </row>
    <row r="8" spans="1:57" ht="16.5">
      <c r="E8" t="s">
        <v>154</v>
      </c>
      <c r="G8" t="str">
        <f t="shared" si="0"/>
        <v>£m 23/24 prices</v>
      </c>
      <c r="H8" t="s">
        <v>950</v>
      </c>
      <c r="AU8" s="97">
        <f>-'Return&amp;RAV'!AU37</f>
        <v>404.11700570297734</v>
      </c>
      <c r="AV8" s="38">
        <f>-'Return&amp;RAV'!AV37</f>
        <v>416.83102032972221</v>
      </c>
      <c r="AW8" s="38">
        <f>-'Return&amp;RAV'!AW37</f>
        <v>436.98711845163353</v>
      </c>
      <c r="AX8" s="38">
        <f>-'Return&amp;RAV'!AX37</f>
        <v>457.64706220340338</v>
      </c>
      <c r="AY8" s="38">
        <f>-'Return&amp;RAV'!AY37</f>
        <v>466.55882883939086</v>
      </c>
      <c r="BA8" s="44" t="str">
        <f t="shared" ref="BA8:BA24" ca="1" si="1">$A$1</f>
        <v>Revenue_TO</v>
      </c>
      <c r="BB8" s="44" t="str">
        <f t="shared" ref="BB8:BB24" si="2">$A$6</f>
        <v>Revenue</v>
      </c>
      <c r="BC8" s="128"/>
      <c r="BE8" s="129"/>
    </row>
    <row r="9" spans="1:57" ht="16.5">
      <c r="E9" t="s">
        <v>230</v>
      </c>
      <c r="G9" t="str">
        <f t="shared" si="0"/>
        <v>£m 23/24 prices</v>
      </c>
      <c r="H9" t="s">
        <v>951</v>
      </c>
      <c r="AU9" s="97">
        <f>'Return&amp;RAV'!AU53</f>
        <v>370.73564380928843</v>
      </c>
      <c r="AV9" s="38">
        <f>'Return&amp;RAV'!AV53</f>
        <v>385.81827021495576</v>
      </c>
      <c r="AW9" s="38">
        <f>'Return&amp;RAV'!AW53</f>
        <v>405.35100934806945</v>
      </c>
      <c r="AX9" s="38">
        <f>'Return&amp;RAV'!AX53</f>
        <v>419.91323238245263</v>
      </c>
      <c r="AY9" s="38">
        <f>'Return&amp;RAV'!AY53</f>
        <v>426.41425539861751</v>
      </c>
      <c r="BA9" s="44" t="str">
        <f t="shared" ca="1" si="1"/>
        <v>Revenue_TO</v>
      </c>
      <c r="BB9" s="44" t="str">
        <f t="shared" si="2"/>
        <v>Revenue</v>
      </c>
      <c r="BC9" s="128"/>
      <c r="BE9" s="129"/>
    </row>
    <row r="10" spans="1:57" ht="16.5">
      <c r="E10" t="s">
        <v>113</v>
      </c>
      <c r="G10" t="str">
        <f t="shared" si="0"/>
        <v>£m 23/24 prices</v>
      </c>
      <c r="H10" t="s">
        <v>937</v>
      </c>
      <c r="AU10" s="97">
        <f>Transform_TO!AU110</f>
        <v>160.87582290317727</v>
      </c>
      <c r="AV10" s="38">
        <f>Transform_TO!AV110</f>
        <v>180.44504523643334</v>
      </c>
      <c r="AW10" s="38">
        <f>Transform_TO!AW110</f>
        <v>181.5976750063179</v>
      </c>
      <c r="AX10" s="38">
        <f>Transform_TO!AX110</f>
        <v>182.27238383084594</v>
      </c>
      <c r="AY10" s="38">
        <f>Transform_TO!AY110</f>
        <v>182.97387740890844</v>
      </c>
      <c r="BA10" s="44" t="str">
        <f t="shared" ca="1" si="1"/>
        <v>Revenue_TO</v>
      </c>
      <c r="BB10" s="44" t="str">
        <f t="shared" si="2"/>
        <v>Revenue</v>
      </c>
      <c r="BC10" s="128"/>
      <c r="BE10" s="129"/>
    </row>
    <row r="11" spans="1:57" ht="16.5">
      <c r="E11" t="s">
        <v>231</v>
      </c>
      <c r="G11" t="str">
        <f t="shared" si="0"/>
        <v>£m 23/24 prices</v>
      </c>
      <c r="H11" t="s">
        <v>966</v>
      </c>
      <c r="AU11" s="141">
        <f>SUM(AU7:AU10)</f>
        <v>1186.0554517895664</v>
      </c>
      <c r="AV11" s="65">
        <f>SUM(AV7:AV10)</f>
        <v>1255.5546774378242</v>
      </c>
      <c r="AW11" s="65">
        <f>SUM(AW7:AW10)</f>
        <v>1308.1383469140769</v>
      </c>
      <c r="AX11" s="65">
        <f>SUM(AX7:AX10)</f>
        <v>1300.9164466657778</v>
      </c>
      <c r="AY11" s="65">
        <f>SUM(AY7:AY10)</f>
        <v>1323.630937670772</v>
      </c>
      <c r="BA11" s="44" t="str">
        <f t="shared" ca="1" si="1"/>
        <v>Revenue_TO</v>
      </c>
      <c r="BB11" s="44" t="str">
        <f t="shared" si="2"/>
        <v>Revenue</v>
      </c>
      <c r="BC11" s="128"/>
      <c r="BE11" s="129"/>
    </row>
    <row r="12" spans="1:57" ht="16.5">
      <c r="E12" t="s">
        <v>642</v>
      </c>
      <c r="G12" t="str">
        <f t="shared" si="0"/>
        <v>£m 23/24 prices</v>
      </c>
      <c r="H12" t="s">
        <v>948</v>
      </c>
      <c r="AU12" s="97"/>
      <c r="AV12" s="38"/>
      <c r="AW12" s="38"/>
      <c r="AX12" s="38"/>
      <c r="AY12" s="38"/>
      <c r="BA12" s="44" t="str">
        <f t="shared" ca="1" si="1"/>
        <v>Revenue_TO</v>
      </c>
      <c r="BB12" s="44" t="str">
        <f t="shared" si="2"/>
        <v>Revenue</v>
      </c>
      <c r="BC12" s="128"/>
      <c r="BE12" s="129"/>
    </row>
    <row r="13" spans="1:57" ht="16.5">
      <c r="E13" t="s">
        <v>97</v>
      </c>
      <c r="G13" t="str">
        <f t="shared" si="0"/>
        <v>£m 23/24 prices</v>
      </c>
      <c r="H13" t="s">
        <v>952</v>
      </c>
      <c r="AU13" s="97">
        <f>SUM(Finance!AU77,Finance!AU99)/PCf</f>
        <v>0.1114634720736972</v>
      </c>
      <c r="AV13" s="72">
        <f ca="1">SUM(Finance!AV77,Finance!AV99)/PCf</f>
        <v>2.0144428720395662</v>
      </c>
      <c r="AW13" s="72">
        <f ca="1">SUM(Finance!AW77,Finance!AW99)/PCf</f>
        <v>1.8747594370827878</v>
      </c>
      <c r="AX13" s="72">
        <f ca="1">SUM(Finance!AX77,Finance!AX99)/PCf</f>
        <v>0</v>
      </c>
      <c r="AY13" s="72">
        <f ca="1">SUM(Finance!AY77,Finance!AY99)/PCf</f>
        <v>0</v>
      </c>
      <c r="BA13" s="44" t="str">
        <f t="shared" ca="1" si="1"/>
        <v>Revenue_TO</v>
      </c>
      <c r="BB13" s="44" t="str">
        <f t="shared" si="2"/>
        <v>Revenue</v>
      </c>
      <c r="BC13" s="128"/>
      <c r="BE13" s="129"/>
    </row>
    <row r="14" spans="1:57" ht="16.5">
      <c r="E14" t="s">
        <v>389</v>
      </c>
      <c r="G14" t="str">
        <f t="shared" si="0"/>
        <v>£m 23/24 prices</v>
      </c>
      <c r="H14" t="s">
        <v>953</v>
      </c>
      <c r="AU14" s="97">
        <f>Transform_TO!AU154</f>
        <v>0</v>
      </c>
      <c r="AV14" s="38">
        <f>Transform_TO!AV154</f>
        <v>0</v>
      </c>
      <c r="AW14" s="38">
        <f>Transform_TO!AW154</f>
        <v>0</v>
      </c>
      <c r="AX14" s="38">
        <f>Transform_TO!AX154</f>
        <v>0</v>
      </c>
      <c r="AY14" s="38">
        <f>Transform_TO!AY154</f>
        <v>0</v>
      </c>
      <c r="BA14" s="44" t="str">
        <f t="shared" ca="1" si="1"/>
        <v>Revenue_TO</v>
      </c>
      <c r="BB14" s="44" t="str">
        <f t="shared" si="2"/>
        <v>Revenue</v>
      </c>
      <c r="BC14" s="128"/>
      <c r="BE14" s="129"/>
    </row>
    <row r="15" spans="1:57" ht="16.5">
      <c r="E15" t="s">
        <v>339</v>
      </c>
      <c r="G15" t="str">
        <f t="shared" si="0"/>
        <v>£m 23/24 prices</v>
      </c>
      <c r="H15" t="s">
        <v>954</v>
      </c>
      <c r="AU15" s="97">
        <f>Transform_TO!AU237</f>
        <v>1.98</v>
      </c>
      <c r="AV15" s="38">
        <f>Transform_TO!AV237</f>
        <v>1.9550000000000001</v>
      </c>
      <c r="AW15" s="38">
        <f>Transform_TO!AW237</f>
        <v>1.9330000000000001</v>
      </c>
      <c r="AX15" s="38">
        <f>Transform_TO!AX237</f>
        <v>1.905</v>
      </c>
      <c r="AY15" s="38">
        <f>Transform_TO!AY237</f>
        <v>1.873</v>
      </c>
      <c r="BA15" s="44" t="str">
        <f t="shared" ca="1" si="1"/>
        <v>Revenue_TO</v>
      </c>
      <c r="BB15" s="44" t="str">
        <f t="shared" si="2"/>
        <v>Revenue</v>
      </c>
      <c r="BC15" s="128"/>
      <c r="BE15" s="129"/>
    </row>
    <row r="16" spans="1:57" ht="16.5">
      <c r="E16" t="s">
        <v>114</v>
      </c>
      <c r="G16" t="str">
        <f t="shared" si="0"/>
        <v>£m 23/24 prices</v>
      </c>
      <c r="H16" t="s">
        <v>940</v>
      </c>
      <c r="AU16" s="97">
        <f>Transform_TO!AU240</f>
        <v>0</v>
      </c>
      <c r="AV16" s="38">
        <f>Transform_TO!AV240</f>
        <v>0</v>
      </c>
      <c r="AW16" s="38">
        <f>Transform_TO!AW240</f>
        <v>0</v>
      </c>
      <c r="AX16" s="38">
        <f>Transform_TO!AX240</f>
        <v>0</v>
      </c>
      <c r="AY16" s="38">
        <f>Transform_TO!AY240</f>
        <v>0</v>
      </c>
      <c r="BA16" s="44" t="str">
        <f t="shared" ca="1" si="1"/>
        <v>Revenue_TO</v>
      </c>
      <c r="BB16" s="44" t="str">
        <f t="shared" si="2"/>
        <v>Revenue</v>
      </c>
      <c r="BC16" s="128"/>
      <c r="BE16" s="129"/>
    </row>
    <row r="17" spans="1:57" ht="16.5">
      <c r="E17" t="s">
        <v>115</v>
      </c>
      <c r="G17" t="str">
        <f t="shared" si="0"/>
        <v>£m 23/24 prices</v>
      </c>
      <c r="H17" t="s">
        <v>938</v>
      </c>
      <c r="AU17" s="97">
        <f>Transform_TO!AU119</f>
        <v>1.2911900447827076</v>
      </c>
      <c r="AV17" s="38">
        <f>Transform_TO!AV119</f>
        <v>7.1785688080487731</v>
      </c>
      <c r="AW17" s="38">
        <f>Transform_TO!AW119</f>
        <v>6.3646399186250271</v>
      </c>
      <c r="AX17" s="38">
        <f>Transform_TO!AX119</f>
        <v>6.275337659357441</v>
      </c>
      <c r="AY17" s="38">
        <f>Transform_TO!AY119</f>
        <v>5.9402774576859372</v>
      </c>
      <c r="BA17" s="44" t="str">
        <f t="shared" ca="1" si="1"/>
        <v>Revenue_TO</v>
      </c>
      <c r="BB17" s="44" t="str">
        <f t="shared" si="2"/>
        <v>Revenue</v>
      </c>
      <c r="BC17" s="128"/>
      <c r="BE17" s="129"/>
    </row>
    <row r="18" spans="1:57">
      <c r="E18" t="s">
        <v>191</v>
      </c>
      <c r="G18" t="str">
        <f t="shared" si="0"/>
        <v>£m 23/24 prices</v>
      </c>
      <c r="AU18" s="141">
        <f>SUM(AU11:AU17)</f>
        <v>1189.4381053064228</v>
      </c>
      <c r="AV18" s="65">
        <f ca="1">SUM(AV11:AV17)</f>
        <v>1266.7026891179125</v>
      </c>
      <c r="AW18" s="65">
        <f ca="1">SUM(AW11:AW17)</f>
        <v>1318.3107462697847</v>
      </c>
      <c r="AX18" s="65">
        <f ca="1">SUM(AX11:AX17)</f>
        <v>1309.0967843251353</v>
      </c>
      <c r="AY18" s="65">
        <f ca="1">SUM(AY11:AY17)</f>
        <v>1331.4442151284579</v>
      </c>
      <c r="BA18" s="44" t="str">
        <f t="shared" ca="1" si="1"/>
        <v>Revenue_TO</v>
      </c>
      <c r="BB18" s="44" t="str">
        <f t="shared" si="2"/>
        <v>Revenue</v>
      </c>
      <c r="BC18" s="128"/>
      <c r="BE18" s="129"/>
    </row>
    <row r="19" spans="1:57" ht="16.5">
      <c r="E19" t="s">
        <v>131</v>
      </c>
      <c r="G19" t="str">
        <f t="shared" si="0"/>
        <v>£m 23/24 prices</v>
      </c>
      <c r="H19" t="s">
        <v>955</v>
      </c>
      <c r="AU19" s="97">
        <f ca="1">Tax!AU82/PCf</f>
        <v>22.575960438178097</v>
      </c>
      <c r="AV19" s="38">
        <f ca="1">Tax!AV82/PCf</f>
        <v>0</v>
      </c>
      <c r="AW19" s="38">
        <f ca="1">Tax!AW82/PCf</f>
        <v>0</v>
      </c>
      <c r="AX19" s="38">
        <f ca="1">Tax!AX82/PCf</f>
        <v>41.798777894907026</v>
      </c>
      <c r="AY19" s="38">
        <f ca="1">Tax!AY82/PCf</f>
        <v>68.634362402790956</v>
      </c>
      <c r="BA19" s="44" t="str">
        <f t="shared" ca="1" si="1"/>
        <v>Revenue_TO</v>
      </c>
      <c r="BB19" s="44" t="str">
        <f t="shared" si="2"/>
        <v>Revenue</v>
      </c>
      <c r="BC19" s="128"/>
      <c r="BE19" s="129"/>
    </row>
    <row r="20" spans="1:57" ht="16.5">
      <c r="E20" t="s">
        <v>26</v>
      </c>
      <c r="G20" t="str">
        <f t="shared" si="0"/>
        <v>£m 23/24 prices</v>
      </c>
      <c r="H20" t="s">
        <v>956</v>
      </c>
      <c r="AU20" s="97">
        <f>Transform_TO!AU223</f>
        <v>0</v>
      </c>
      <c r="AV20" s="38">
        <f>Transform_TO!AV223</f>
        <v>0</v>
      </c>
      <c r="AW20" s="38">
        <f>Transform_TO!AW223</f>
        <v>0</v>
      </c>
      <c r="AX20" s="38">
        <f>Transform_TO!AX223</f>
        <v>0</v>
      </c>
      <c r="AY20" s="38">
        <f>Transform_TO!AY223</f>
        <v>0</v>
      </c>
      <c r="BA20" s="44" t="str">
        <f t="shared" ca="1" si="1"/>
        <v>Revenue_TO</v>
      </c>
      <c r="BB20" s="44" t="str">
        <f t="shared" si="2"/>
        <v>Revenue</v>
      </c>
      <c r="BC20" s="128"/>
      <c r="BE20" s="129"/>
    </row>
    <row r="21" spans="1:57" ht="16.5">
      <c r="E21" t="s">
        <v>789</v>
      </c>
      <c r="G21" t="str">
        <f t="shared" si="0"/>
        <v>£m 23/24 prices</v>
      </c>
      <c r="H21" t="s">
        <v>926</v>
      </c>
      <c r="AU21" s="97">
        <f>Transform_TO!AU260</f>
        <v>-42</v>
      </c>
      <c r="AV21" s="38">
        <f>Transform_TO!AV260</f>
        <v>-21</v>
      </c>
      <c r="AW21" s="38">
        <f>Transform_TO!AW260</f>
        <v>0</v>
      </c>
      <c r="AX21" s="38">
        <f>Transform_TO!AX260</f>
        <v>25</v>
      </c>
      <c r="AY21" s="38">
        <f>Transform_TO!AY260</f>
        <v>47.43087369519229</v>
      </c>
      <c r="BA21" s="44" t="str">
        <f t="shared" ca="1" si="1"/>
        <v>Revenue_TO</v>
      </c>
      <c r="BB21" s="44" t="str">
        <f t="shared" si="2"/>
        <v>Revenue</v>
      </c>
      <c r="BC21" s="128"/>
      <c r="BE21" s="129"/>
    </row>
    <row r="22" spans="1:57" ht="16.5">
      <c r="E22" t="s">
        <v>233</v>
      </c>
      <c r="G22" t="str">
        <f t="shared" si="0"/>
        <v>£m 23/24 prices</v>
      </c>
      <c r="H22" t="s">
        <v>957</v>
      </c>
      <c r="AU22" s="141">
        <f ca="1">SUM(AU18:AU21)</f>
        <v>1170.0140657446009</v>
      </c>
      <c r="AV22" s="65">
        <f t="shared" ref="AV22:AY22" ca="1" si="3">SUM(AV18:AV21)</f>
        <v>1245.7026891179125</v>
      </c>
      <c r="AW22" s="65">
        <f t="shared" ca="1" si="3"/>
        <v>1318.3107462697847</v>
      </c>
      <c r="AX22" s="65">
        <f t="shared" ca="1" si="3"/>
        <v>1375.8955622200424</v>
      </c>
      <c r="AY22" s="65">
        <f t="shared" ca="1" si="3"/>
        <v>1447.5094512264411</v>
      </c>
      <c r="BA22" s="44" t="str">
        <f t="shared" ca="1" si="1"/>
        <v>Revenue_TO</v>
      </c>
      <c r="BB22" s="44" t="str">
        <f t="shared" si="2"/>
        <v>Revenue</v>
      </c>
      <c r="BC22" s="128"/>
      <c r="BE22" s="129"/>
    </row>
    <row r="23" spans="1:57">
      <c r="E23" t="s">
        <v>643</v>
      </c>
      <c r="G23" t="str">
        <f t="shared" si="0"/>
        <v>£m 23/24 prices</v>
      </c>
      <c r="AU23" s="97">
        <f>-Transform_TO!AU154</f>
        <v>0</v>
      </c>
      <c r="AV23" s="38">
        <f>-Transform_TO!AV154</f>
        <v>0</v>
      </c>
      <c r="AW23" s="38">
        <f>-Transform_TO!AW154</f>
        <v>0</v>
      </c>
      <c r="AX23" s="38">
        <f>-Transform_TO!AX154</f>
        <v>0</v>
      </c>
      <c r="AY23" s="38">
        <f>-Transform_TO!AY154</f>
        <v>0</v>
      </c>
      <c r="BA23" s="44" t="str">
        <f t="shared" ca="1" si="1"/>
        <v>Revenue_TO</v>
      </c>
      <c r="BB23" s="44" t="str">
        <f t="shared" si="2"/>
        <v>Revenue</v>
      </c>
      <c r="BC23" s="128"/>
      <c r="BE23" s="129"/>
    </row>
    <row r="24" spans="1:57">
      <c r="E24" t="s">
        <v>644</v>
      </c>
      <c r="G24" t="str">
        <f t="shared" si="0"/>
        <v>£m 23/24 prices</v>
      </c>
      <c r="AU24" s="141">
        <f ca="1">SUM(AU22:AU23)</f>
        <v>1170.0140657446009</v>
      </c>
      <c r="AV24" s="65">
        <f ca="1">SUM(AV22:AV23)</f>
        <v>1245.7026891179125</v>
      </c>
      <c r="AW24" s="65">
        <f ca="1">SUM(AW22:AW23)</f>
        <v>1318.3107462697847</v>
      </c>
      <c r="AX24" s="65">
        <f ca="1">SUM(AX22:AX23)</f>
        <v>1375.8955622200424</v>
      </c>
      <c r="AY24" s="65">
        <f ca="1">SUM(AY22:AY23)</f>
        <v>1447.5094512264411</v>
      </c>
      <c r="BA24" s="44" t="str">
        <f t="shared" ca="1" si="1"/>
        <v>Revenue_TO</v>
      </c>
      <c r="BB24" s="44" t="str">
        <f t="shared" si="2"/>
        <v>Revenue</v>
      </c>
      <c r="BC24" s="128"/>
      <c r="BE24" s="129"/>
    </row>
    <row r="25" spans="1:57"/>
    <row r="26" spans="1:57" ht="20" thickBot="1">
      <c r="A26" s="15" t="s">
        <v>241</v>
      </c>
      <c r="AU26" s="242"/>
      <c r="AV26" s="241"/>
      <c r="AW26" s="241"/>
      <c r="AX26" s="241"/>
      <c r="AY26" s="241"/>
    </row>
    <row r="27" spans="1:57" ht="16.5" thickTop="1"/>
    <row r="28" spans="1:57"/>
  </sheetData>
  <conditionalFormatting sqref="H1">
    <cfRule type="cellIs" dxfId="5" priority="1" operator="equal">
      <formula>"ERROR"</formula>
    </cfRule>
  </conditionalFormatting>
  <pageMargins left="0.7" right="0.7" top="0.75" bottom="0.75" header="0.3" footer="0.3"/>
  <pageSetup paperSize="9" orientation="portrait" r:id="rId1"/>
  <headerFooter>
    <oddFooter>&amp;L_x000D_&amp;1#&amp;"Aptos"&amp;10&amp;K000000 National Gas | Business Use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5FA487-0DDE-41F6-AAB2-7557390D9252}">
  <sheetPr codeName="Sheet19">
    <tabColor rgb="FFBAA0CC"/>
    <pageSetUpPr autoPageBreaks="0"/>
  </sheetPr>
  <dimension ref="A1:BI20"/>
  <sheetViews>
    <sheetView zoomScale="70" zoomScaleNormal="70" workbookViewId="0">
      <pane xSplit="10" ySplit="4" topLeftCell="AU5" activePane="bottomRight" state="frozen"/>
      <selection pane="topRight" activeCell="K1" sqref="K1"/>
      <selection pane="bottomLeft" activeCell="A5" sqref="A5"/>
      <selection pane="bottomRight" activeCell="AV18" sqref="AV18"/>
    </sheetView>
  </sheetViews>
  <sheetFormatPr defaultColWidth="0" defaultRowHeight="15" customHeight="1" zeroHeight="1" outlineLevelCol="1"/>
  <cols>
    <col min="1" max="3" width="1.81640625" customWidth="1"/>
    <col min="4" max="4" width="15.7265625" customWidth="1"/>
    <col min="5" max="5" width="77.26953125" customWidth="1"/>
    <col min="6" max="6" width="8.7265625" customWidth="1"/>
    <col min="7" max="7" width="17.7265625" customWidth="1"/>
    <col min="8" max="8" width="9.7265625" customWidth="1"/>
    <col min="9" max="9" width="11.7265625" customWidth="1"/>
    <col min="10" max="10" width="2.08984375" customWidth="1"/>
    <col min="11" max="45" width="11.7265625" hidden="1" customWidth="1" outlineLevel="1"/>
    <col min="46" max="46" width="11.7265625" style="77" hidden="1" customWidth="1" outlineLevel="1"/>
    <col min="47" max="47" width="11.7265625" customWidth="1" collapsed="1"/>
    <col min="48" max="52" width="11.7265625" customWidth="1"/>
    <col min="53" max="54" width="10.7265625" style="1" customWidth="1"/>
    <col min="55" max="57" width="10.7265625" customWidth="1"/>
    <col min="58" max="58" width="1.7265625" customWidth="1"/>
    <col min="59" max="60" width="10.7265625" hidden="1" customWidth="1"/>
    <col min="61" max="61" width="1.7265625" style="8" hidden="1" customWidth="1"/>
    <col min="62" max="16384" width="9.08984375" hidden="1"/>
  </cols>
  <sheetData>
    <row r="1" spans="1:57" s="119" customFormat="1" ht="14.5">
      <c r="A1" s="118" t="str" cm="1">
        <f t="array" aca="1" ref="A1" ca="1">MID(CELL("filename",$A$1),FIND("]",CELL("filename",$A$1))+1,255)</f>
        <v>Revenue_SO</v>
      </c>
      <c r="G1" s="119" t="s">
        <v>515</v>
      </c>
      <c r="H1" s="38" t="str">
        <f ca="1">Checks!I7</f>
        <v>ERROR</v>
      </c>
      <c r="AT1" s="124"/>
      <c r="BA1" s="121"/>
      <c r="BB1" s="121"/>
    </row>
    <row r="2" spans="1:57" s="119" customFormat="1" ht="15" customHeight="1">
      <c r="AT2" s="124"/>
      <c r="BA2" s="121"/>
      <c r="BB2" s="121"/>
    </row>
    <row r="3" spans="1:57" s="119" customFormat="1" ht="15" customHeight="1">
      <c r="E3" s="119" t="s">
        <v>0</v>
      </c>
      <c r="F3" s="119" t="s">
        <v>1</v>
      </c>
      <c r="G3" s="119" t="s">
        <v>2</v>
      </c>
      <c r="H3" s="119" t="s">
        <v>3</v>
      </c>
      <c r="I3" s="119" t="str">
        <f>NGT_TO!I3</f>
        <v>Constant</v>
      </c>
      <c r="AT3" s="124"/>
      <c r="AU3" s="122" t="str">
        <f>NGT_TO!AU3</f>
        <v>Annual values</v>
      </c>
      <c r="BA3" s="121"/>
      <c r="BB3" s="121"/>
    </row>
    <row r="4" spans="1:57" s="119" customFormat="1" ht="15" customHeight="1">
      <c r="E4" s="119" t="s">
        <v>6</v>
      </c>
      <c r="K4" s="122">
        <v>33328</v>
      </c>
      <c r="L4" s="122">
        <v>33694</v>
      </c>
      <c r="M4" s="122">
        <v>34059</v>
      </c>
      <c r="N4" s="122">
        <v>34424</v>
      </c>
      <c r="O4" s="122">
        <v>34789</v>
      </c>
      <c r="P4" s="122">
        <v>35155</v>
      </c>
      <c r="Q4" s="122">
        <v>35520</v>
      </c>
      <c r="R4" s="122">
        <v>35885</v>
      </c>
      <c r="S4" s="122">
        <v>36250</v>
      </c>
      <c r="T4" s="122">
        <v>36616</v>
      </c>
      <c r="U4" s="122">
        <v>36981</v>
      </c>
      <c r="V4" s="122">
        <v>37346</v>
      </c>
      <c r="W4" s="122">
        <v>37711</v>
      </c>
      <c r="X4" s="122">
        <v>38077</v>
      </c>
      <c r="Y4" s="122">
        <v>38442</v>
      </c>
      <c r="Z4" s="122">
        <v>38807</v>
      </c>
      <c r="AA4" s="122">
        <v>39172</v>
      </c>
      <c r="AB4" s="122">
        <v>39538</v>
      </c>
      <c r="AC4" s="122">
        <v>39903</v>
      </c>
      <c r="AD4" s="122">
        <v>40268</v>
      </c>
      <c r="AE4" s="122">
        <v>40633</v>
      </c>
      <c r="AF4" s="122">
        <v>40999</v>
      </c>
      <c r="AG4" s="122">
        <v>41364</v>
      </c>
      <c r="AH4" s="122">
        <v>41729</v>
      </c>
      <c r="AI4" s="122">
        <v>42094</v>
      </c>
      <c r="AJ4" s="122">
        <v>42460</v>
      </c>
      <c r="AK4" s="122">
        <v>42825</v>
      </c>
      <c r="AL4" s="122">
        <v>43190</v>
      </c>
      <c r="AM4" s="122">
        <v>43555</v>
      </c>
      <c r="AN4" s="122">
        <v>43921</v>
      </c>
      <c r="AO4" s="122">
        <v>44286</v>
      </c>
      <c r="AP4" s="122">
        <v>44651</v>
      </c>
      <c r="AQ4" s="122">
        <v>45016</v>
      </c>
      <c r="AR4" s="122">
        <v>45382</v>
      </c>
      <c r="AS4" s="122">
        <v>45747</v>
      </c>
      <c r="AT4" s="123">
        <v>46112</v>
      </c>
      <c r="AU4" s="122">
        <v>46477</v>
      </c>
      <c r="AV4" s="122">
        <v>46843</v>
      </c>
      <c r="AW4" s="122">
        <v>47208</v>
      </c>
      <c r="AX4" s="122">
        <v>47573</v>
      </c>
      <c r="AY4" s="122">
        <v>47938</v>
      </c>
      <c r="BA4" s="127" t="s">
        <v>527</v>
      </c>
      <c r="BB4" s="127" t="s">
        <v>528</v>
      </c>
      <c r="BC4" s="127" t="s">
        <v>529</v>
      </c>
      <c r="BD4" s="127" t="s">
        <v>530</v>
      </c>
    </row>
    <row r="5" spans="1:57" ht="16">
      <c r="AP5" s="1"/>
      <c r="AQ5" s="1"/>
      <c r="AR5" s="1"/>
      <c r="AS5" s="1"/>
      <c r="AT5" s="100"/>
    </row>
    <row r="6" spans="1:57" ht="20" thickBot="1">
      <c r="A6" s="15" t="s">
        <v>229</v>
      </c>
      <c r="BA6" s="44"/>
    </row>
    <row r="7" spans="1:57" ht="17" thickTop="1">
      <c r="E7" t="s">
        <v>315</v>
      </c>
      <c r="G7" t="str">
        <f t="shared" ref="G7:G16" si="0">price_label</f>
        <v>£m 23/24 prices</v>
      </c>
      <c r="H7" t="s">
        <v>958</v>
      </c>
      <c r="AU7" s="97">
        <f>Calculations_SO!AU41</f>
        <v>79.61272715103388</v>
      </c>
      <c r="AV7" s="38">
        <f>Calculations_SO!AV41</f>
        <v>85.346110524294957</v>
      </c>
      <c r="AW7" s="38">
        <f>Calculations_SO!AW41</f>
        <v>81.800448008529088</v>
      </c>
      <c r="AX7" s="38">
        <f>Calculations_SO!AX41</f>
        <v>73.415939847361784</v>
      </c>
      <c r="AY7" s="38">
        <f>Calculations_SO!AY41</f>
        <v>65.937657743438109</v>
      </c>
      <c r="BA7" s="44" t="str">
        <f ca="1">$A$1</f>
        <v>Revenue_SO</v>
      </c>
      <c r="BB7" s="1" t="str">
        <f t="shared" ref="BB7:BB16" si="1">$A$6</f>
        <v>Revenue</v>
      </c>
      <c r="BC7" s="128"/>
      <c r="BE7" s="129"/>
    </row>
    <row r="8" spans="1:57" ht="16.5">
      <c r="E8" s="73" t="s">
        <v>154</v>
      </c>
      <c r="G8" t="str">
        <f t="shared" si="0"/>
        <v>£m 23/24 prices</v>
      </c>
      <c r="H8" t="s">
        <v>959</v>
      </c>
      <c r="AU8" s="97">
        <f>-Calculations_SO!AU116</f>
        <v>40.111608577690369</v>
      </c>
      <c r="AV8" s="38">
        <f>-Calculations_SO!AV116</f>
        <v>40.165044834582027</v>
      </c>
      <c r="AW8" s="38">
        <f>-Calculations_SO!AW116</f>
        <v>41.201053072412144</v>
      </c>
      <c r="AX8" s="38">
        <f>-Calculations_SO!AX116</f>
        <v>43.603207080099281</v>
      </c>
      <c r="AY8" s="38">
        <f>-Calculations_SO!AY116</f>
        <v>45.462510500236007</v>
      </c>
      <c r="BA8" s="44" t="str">
        <f t="shared" ref="BA8:BA16" ca="1" si="2">$A$1</f>
        <v>Revenue_SO</v>
      </c>
      <c r="BB8" s="1" t="str">
        <f t="shared" si="1"/>
        <v>Revenue</v>
      </c>
      <c r="BC8" s="128"/>
      <c r="BE8" s="129"/>
    </row>
    <row r="9" spans="1:57" ht="16.5">
      <c r="E9" t="s">
        <v>230</v>
      </c>
      <c r="G9" t="str">
        <f t="shared" si="0"/>
        <v>£m 23/24 prices</v>
      </c>
      <c r="H9" t="s">
        <v>960</v>
      </c>
      <c r="AU9" s="97">
        <f>Calculations_SO!AU128</f>
        <v>8.1762372483461974</v>
      </c>
      <c r="AV9" s="38">
        <f>Calculations_SO!AV128</f>
        <v>8.8210623249818472</v>
      </c>
      <c r="AW9" s="38">
        <f>Calculations_SO!AW128</f>
        <v>9.4737425741910553</v>
      </c>
      <c r="AX9" s="38">
        <f>Calculations_SO!AX128</f>
        <v>9.8843375620921474</v>
      </c>
      <c r="AY9" s="38">
        <f>Calculations_SO!AY128</f>
        <v>9.9448668133801963</v>
      </c>
      <c r="BA9" s="44" t="str">
        <f t="shared" ca="1" si="2"/>
        <v>Revenue_SO</v>
      </c>
      <c r="BB9" s="1" t="str">
        <f t="shared" si="1"/>
        <v>Revenue</v>
      </c>
      <c r="BC9" s="128"/>
      <c r="BE9" s="129"/>
    </row>
    <row r="10" spans="1:57" ht="16.5">
      <c r="E10" t="s">
        <v>113</v>
      </c>
      <c r="G10" t="str">
        <f t="shared" si="0"/>
        <v>£m 23/24 prices</v>
      </c>
      <c r="H10" t="s">
        <v>942</v>
      </c>
      <c r="AU10" s="97">
        <f>Transform_SO!AU35</f>
        <v>44.90024459987827</v>
      </c>
      <c r="AV10" s="38">
        <f>Transform_SO!AV35</f>
        <v>37.104573139953175</v>
      </c>
      <c r="AW10" s="38">
        <f>Transform_SO!AW35</f>
        <v>37.594328405198311</v>
      </c>
      <c r="AX10" s="38">
        <f>Transform_SO!AX35</f>
        <v>36.322007764802066</v>
      </c>
      <c r="AY10" s="38">
        <f>Transform_SO!AY35</f>
        <v>36.971631005375848</v>
      </c>
      <c r="BA10" s="44" t="str">
        <f t="shared" ca="1" si="2"/>
        <v>Revenue_SO</v>
      </c>
      <c r="BB10" s="1" t="str">
        <f t="shared" si="1"/>
        <v>Revenue</v>
      </c>
      <c r="BC10" s="128"/>
      <c r="BE10" s="129"/>
    </row>
    <row r="11" spans="1:57" ht="16.5">
      <c r="E11" t="s">
        <v>231</v>
      </c>
      <c r="G11" t="str">
        <f t="shared" si="0"/>
        <v>£m 23/24 prices</v>
      </c>
      <c r="H11" t="s">
        <v>973</v>
      </c>
      <c r="AU11" s="141">
        <f>SUM(AU7:AU10)</f>
        <v>172.8008175769487</v>
      </c>
      <c r="AV11" s="65">
        <f>SUM(AV7:AV10)</f>
        <v>171.436790823812</v>
      </c>
      <c r="AW11" s="65">
        <f>SUM(AW7:AW10)</f>
        <v>170.06957206033059</v>
      </c>
      <c r="AX11" s="65">
        <f>SUM(AX7:AX10)</f>
        <v>163.22549225435529</v>
      </c>
      <c r="AY11" s="65">
        <f>SUM(AY7:AY10)</f>
        <v>158.31666606243016</v>
      </c>
      <c r="BA11" s="44" t="str">
        <f t="shared" ca="1" si="2"/>
        <v>Revenue_SO</v>
      </c>
      <c r="BB11" s="1" t="str">
        <f t="shared" si="1"/>
        <v>Revenue</v>
      </c>
      <c r="BC11" s="128"/>
      <c r="BE11" s="129"/>
    </row>
    <row r="12" spans="1:57" ht="16.5">
      <c r="E12" t="s">
        <v>115</v>
      </c>
      <c r="G12" t="str">
        <f t="shared" si="0"/>
        <v>£m 23/24 prices</v>
      </c>
      <c r="H12" t="s">
        <v>943</v>
      </c>
      <c r="AU12" s="97">
        <f>Transform_SO!AU62</f>
        <v>160.3777653541899</v>
      </c>
      <c r="AV12" s="38">
        <f>Transform_SO!AV62</f>
        <v>124.75564226802362</v>
      </c>
      <c r="AW12" s="38">
        <f>Transform_SO!AW62</f>
        <v>109.25716788069384</v>
      </c>
      <c r="AX12" s="38">
        <f>Transform_SO!AX62</f>
        <v>107.7564397914939</v>
      </c>
      <c r="AY12" s="38">
        <f>Transform_SO!AY62</f>
        <v>106.25242359432681</v>
      </c>
      <c r="BA12" s="44" t="str">
        <f t="shared" ca="1" si="2"/>
        <v>Revenue_SO</v>
      </c>
      <c r="BB12" s="1" t="str">
        <f t="shared" si="1"/>
        <v>Revenue</v>
      </c>
      <c r="BC12" s="128"/>
      <c r="BE12" s="129"/>
    </row>
    <row r="13" spans="1:57" ht="16">
      <c r="E13" t="s">
        <v>191</v>
      </c>
      <c r="G13" t="str">
        <f t="shared" si="0"/>
        <v>£m 23/24 prices</v>
      </c>
      <c r="AU13" s="141">
        <f>SUM(AU11:AU12)</f>
        <v>333.17858293113864</v>
      </c>
      <c r="AV13" s="65">
        <f>SUM(AV11:AV12)</f>
        <v>296.1924330918356</v>
      </c>
      <c r="AW13" s="65">
        <f>SUM(AW11:AW12)</f>
        <v>279.32673994102441</v>
      </c>
      <c r="AX13" s="65">
        <f>SUM(AX11:AX12)</f>
        <v>270.98193204584919</v>
      </c>
      <c r="AY13" s="65">
        <f>SUM(AY11:AY12)</f>
        <v>264.569089656757</v>
      </c>
      <c r="BA13" s="44" t="str">
        <f t="shared" ca="1" si="2"/>
        <v>Revenue_SO</v>
      </c>
      <c r="BB13" s="1" t="str">
        <f t="shared" si="1"/>
        <v>Revenue</v>
      </c>
      <c r="BC13" s="128"/>
      <c r="BE13" s="129"/>
    </row>
    <row r="14" spans="1:57" ht="16.5">
      <c r="E14" t="s">
        <v>131</v>
      </c>
      <c r="G14" t="str">
        <f t="shared" si="0"/>
        <v>£m 23/24 prices</v>
      </c>
      <c r="H14" t="s">
        <v>961</v>
      </c>
      <c r="AU14" s="97">
        <f ca="1">Calculations_SO!AU308/PCf</f>
        <v>5.076725615764361</v>
      </c>
      <c r="AV14" s="38">
        <f ca="1">Calculations_SO!AV308/PCf</f>
        <v>5.8445789614377901</v>
      </c>
      <c r="AW14" s="38">
        <f ca="1">Calculations_SO!AW308/PCf</f>
        <v>4.0747107520127699</v>
      </c>
      <c r="AX14" s="38">
        <f ca="1">Calculations_SO!AX308/PCf</f>
        <v>2.2241588947646109</v>
      </c>
      <c r="AY14" s="38">
        <f ca="1">Calculations_SO!AY308/PCf</f>
        <v>1.4194833363274351</v>
      </c>
      <c r="BA14" s="44" t="str">
        <f t="shared" ca="1" si="2"/>
        <v>Revenue_SO</v>
      </c>
      <c r="BB14" s="1" t="str">
        <f t="shared" si="1"/>
        <v>Revenue</v>
      </c>
      <c r="BC14" s="128"/>
      <c r="BE14" s="129"/>
    </row>
    <row r="15" spans="1:57" ht="16.5">
      <c r="E15" t="s">
        <v>26</v>
      </c>
      <c r="G15" t="str">
        <f t="shared" si="0"/>
        <v>£m 23/24 prices</v>
      </c>
      <c r="H15" t="s">
        <v>962</v>
      </c>
      <c r="AU15" s="97">
        <f>Calculations_SO!AU310/PCf</f>
        <v>0</v>
      </c>
      <c r="AV15" s="38">
        <f>Calculations_SO!AV310/PCf</f>
        <v>0</v>
      </c>
      <c r="AW15" s="38">
        <f>Calculations_SO!AW310/PCf</f>
        <v>0</v>
      </c>
      <c r="AX15" s="38">
        <f>Calculations_SO!AX310/PCf</f>
        <v>0</v>
      </c>
      <c r="AY15" s="38">
        <f>Calculations_SO!AY310/PCf</f>
        <v>0</v>
      </c>
      <c r="BA15" s="44" t="str">
        <f t="shared" ca="1" si="2"/>
        <v>Revenue_SO</v>
      </c>
      <c r="BB15" s="1" t="str">
        <f t="shared" si="1"/>
        <v>Revenue</v>
      </c>
      <c r="BC15" s="128"/>
      <c r="BE15" s="129"/>
    </row>
    <row r="16" spans="1:57" ht="16.5">
      <c r="E16" t="s">
        <v>233</v>
      </c>
      <c r="G16" t="str">
        <f t="shared" si="0"/>
        <v>£m 23/24 prices</v>
      </c>
      <c r="H16" t="s">
        <v>963</v>
      </c>
      <c r="AU16" s="141">
        <f ca="1">SUM(AU13:AU15)</f>
        <v>338.255308546903</v>
      </c>
      <c r="AV16" s="65">
        <f ca="1">SUM(AV13:AV15)</f>
        <v>302.03701205327337</v>
      </c>
      <c r="AW16" s="65">
        <f ca="1">SUM(AW13:AW15)</f>
        <v>283.40145069303719</v>
      </c>
      <c r="AX16" s="65">
        <f ca="1">SUM(AX13:AX15)</f>
        <v>273.20609094061382</v>
      </c>
      <c r="AY16" s="65">
        <f ca="1">SUM(AY13:AY15)</f>
        <v>265.98857299308446</v>
      </c>
      <c r="BA16" s="44" t="str">
        <f t="shared" ca="1" si="2"/>
        <v>Revenue_SO</v>
      </c>
      <c r="BB16" s="1" t="str">
        <f t="shared" si="1"/>
        <v>Revenue</v>
      </c>
      <c r="BC16" s="128"/>
      <c r="BE16" s="129"/>
    </row>
    <row r="17" spans="1:1" ht="15" customHeight="1"/>
    <row r="18" spans="1:1" ht="20" thickBot="1">
      <c r="A18" s="15" t="s">
        <v>241</v>
      </c>
    </row>
    <row r="19" spans="1:1" ht="15" customHeight="1" thickTop="1"/>
    <row r="20" spans="1:1" ht="15" customHeight="1"/>
  </sheetData>
  <conditionalFormatting sqref="H1">
    <cfRule type="cellIs" dxfId="4" priority="1" operator="equal">
      <formula>"ERROR"</formula>
    </cfRule>
  </conditionalFormatting>
  <pageMargins left="0.7" right="0.7" top="0.75" bottom="0.75" header="0.3" footer="0.3"/>
  <pageSetup paperSize="9" orientation="portrait" r:id="rId1"/>
  <headerFooter>
    <oddFooter>&amp;L_x000D_&amp;1#&amp;"Aptos"&amp;10&amp;K000000 National Gas | Business Use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CA331D-D0C3-4DA9-B317-9B9C81E8C9F1}">
  <sheetPr codeName="Sheet20">
    <tabColor rgb="FFBAA0CC"/>
    <pageSetUpPr autoPageBreaks="0"/>
  </sheetPr>
  <dimension ref="A1:BF66"/>
  <sheetViews>
    <sheetView zoomScale="60" zoomScaleNormal="60" workbookViewId="0">
      <pane xSplit="10" ySplit="4" topLeftCell="AT25" activePane="bottomRight" state="frozen"/>
      <selection pane="topRight" activeCell="K1" sqref="K1"/>
      <selection pane="bottomLeft" activeCell="A5" sqref="A5"/>
      <selection pane="bottomRight" activeCell="AX65" sqref="AX65"/>
    </sheetView>
  </sheetViews>
  <sheetFormatPr defaultColWidth="0" defaultRowHeight="15" customHeight="1" zeroHeight="1" outlineLevelRow="1" outlineLevelCol="1"/>
  <cols>
    <col min="1" max="3" width="1.81640625" customWidth="1"/>
    <col min="4" max="4" width="15.7265625" customWidth="1"/>
    <col min="5" max="5" width="77.26953125" customWidth="1"/>
    <col min="6" max="6" width="8.7265625" customWidth="1"/>
    <col min="7" max="7" width="17.7265625" customWidth="1"/>
    <col min="8" max="8" width="9.7265625" customWidth="1"/>
    <col min="9" max="9" width="11.7265625" customWidth="1"/>
    <col min="10" max="10" width="2.08984375" customWidth="1"/>
    <col min="11" max="45" width="11.7265625" customWidth="1" outlineLevel="1"/>
    <col min="46" max="46" width="11.7265625" style="77" customWidth="1" outlineLevel="1"/>
    <col min="47" max="52" width="11.7265625" customWidth="1"/>
    <col min="53" max="55" width="10.7265625" style="1" customWidth="1"/>
    <col min="56" max="57" width="10.7265625" customWidth="1"/>
    <col min="58" max="58" width="1.7265625" style="8" customWidth="1"/>
  </cols>
  <sheetData>
    <row r="1" spans="1:58" s="119" customFormat="1" ht="14.5">
      <c r="A1" s="118" t="str" cm="1">
        <f t="array" aca="1" ref="A1" ca="1">MID(CELL("filename",$A$1),FIND("]",CELL("filename",$A$1))+1,255)</f>
        <v>AllowedRevenue_TO</v>
      </c>
      <c r="G1" s="119" t="s">
        <v>515</v>
      </c>
      <c r="H1" s="38" t="str">
        <f ca="1">Checks!I7</f>
        <v>ERROR</v>
      </c>
      <c r="AT1" s="124"/>
      <c r="BA1" s="121"/>
      <c r="BB1" s="121"/>
      <c r="BC1" s="121"/>
    </row>
    <row r="2" spans="1:58" s="119" customFormat="1" ht="15" customHeight="1">
      <c r="AT2" s="124"/>
      <c r="BA2" s="121"/>
      <c r="BB2" s="121"/>
      <c r="BC2" s="121"/>
    </row>
    <row r="3" spans="1:58" s="119" customFormat="1" ht="15" customHeight="1">
      <c r="E3" s="119" t="s">
        <v>0</v>
      </c>
      <c r="F3" s="119" t="s">
        <v>1</v>
      </c>
      <c r="G3" s="119" t="s">
        <v>2</v>
      </c>
      <c r="H3" s="119" t="s">
        <v>3</v>
      </c>
      <c r="I3" s="119" t="str">
        <f>NGT_TO!I3</f>
        <v>Constant</v>
      </c>
      <c r="AT3" s="124"/>
      <c r="AU3" s="122" t="str">
        <f>NGT_TO!AU3</f>
        <v>Annual values</v>
      </c>
      <c r="BA3" s="121"/>
      <c r="BB3" s="121"/>
      <c r="BC3" s="121"/>
    </row>
    <row r="4" spans="1:58" s="119" customFormat="1" ht="15" customHeight="1">
      <c r="D4" s="121" t="s">
        <v>421</v>
      </c>
      <c r="E4" s="119" t="s">
        <v>6</v>
      </c>
      <c r="K4" s="122">
        <f>NGT_TO!K4</f>
        <v>33328</v>
      </c>
      <c r="L4" s="122">
        <f>NGT_TO!L4</f>
        <v>33694</v>
      </c>
      <c r="M4" s="122">
        <f>NGT_TO!M4</f>
        <v>34059</v>
      </c>
      <c r="N4" s="122">
        <f>NGT_TO!N4</f>
        <v>34424</v>
      </c>
      <c r="O4" s="122">
        <f>NGT_TO!O4</f>
        <v>34789</v>
      </c>
      <c r="P4" s="122">
        <f>NGT_TO!P4</f>
        <v>35155</v>
      </c>
      <c r="Q4" s="122">
        <f>NGT_TO!Q4</f>
        <v>35520</v>
      </c>
      <c r="R4" s="122">
        <f>NGT_TO!R4</f>
        <v>35885</v>
      </c>
      <c r="S4" s="122">
        <f>NGT_TO!S4</f>
        <v>36250</v>
      </c>
      <c r="T4" s="122">
        <f>NGT_TO!T4</f>
        <v>36616</v>
      </c>
      <c r="U4" s="122">
        <f>NGT_TO!U4</f>
        <v>36981</v>
      </c>
      <c r="V4" s="122">
        <f>NGT_TO!V4</f>
        <v>37346</v>
      </c>
      <c r="W4" s="122">
        <f>NGT_TO!W4</f>
        <v>37711</v>
      </c>
      <c r="X4" s="122">
        <f>NGT_TO!X4</f>
        <v>38077</v>
      </c>
      <c r="Y4" s="122">
        <f>NGT_TO!Y4</f>
        <v>38442</v>
      </c>
      <c r="Z4" s="122">
        <f>NGT_TO!Z4</f>
        <v>38807</v>
      </c>
      <c r="AA4" s="122">
        <f>NGT_TO!AA4</f>
        <v>39172</v>
      </c>
      <c r="AB4" s="122">
        <f>NGT_TO!AB4</f>
        <v>39538</v>
      </c>
      <c r="AC4" s="122">
        <f>NGT_TO!AC4</f>
        <v>39903</v>
      </c>
      <c r="AD4" s="122">
        <f>NGT_TO!AD4</f>
        <v>40268</v>
      </c>
      <c r="AE4" s="122">
        <f>NGT_TO!AE4</f>
        <v>40633</v>
      </c>
      <c r="AF4" s="122">
        <f>NGT_TO!AF4</f>
        <v>40999</v>
      </c>
      <c r="AG4" s="122">
        <f>NGT_TO!AG4</f>
        <v>41364</v>
      </c>
      <c r="AH4" s="122">
        <f>NGT_TO!AH4</f>
        <v>41729</v>
      </c>
      <c r="AI4" s="122">
        <f>NGT_TO!AI4</f>
        <v>42094</v>
      </c>
      <c r="AJ4" s="122">
        <f>NGT_TO!AJ4</f>
        <v>42460</v>
      </c>
      <c r="AK4" s="122">
        <f>NGT_TO!AK4</f>
        <v>42825</v>
      </c>
      <c r="AL4" s="122">
        <f>NGT_TO!AL4</f>
        <v>43190</v>
      </c>
      <c r="AM4" s="122">
        <f>NGT_TO!AM4</f>
        <v>43555</v>
      </c>
      <c r="AN4" s="122">
        <f>NGT_TO!AN4</f>
        <v>43921</v>
      </c>
      <c r="AO4" s="122">
        <f>NGT_TO!AO4</f>
        <v>44286</v>
      </c>
      <c r="AP4" s="122">
        <f>NGT_TO!AP4</f>
        <v>44651</v>
      </c>
      <c r="AQ4" s="122">
        <f>NGT_TO!AQ4</f>
        <v>45016</v>
      </c>
      <c r="AR4" s="122">
        <f>NGT_TO!AR4</f>
        <v>45382</v>
      </c>
      <c r="AS4" s="122">
        <f>NGT_TO!AS4</f>
        <v>45747</v>
      </c>
      <c r="AT4" s="123">
        <f>NGT_TO!AT4</f>
        <v>46112</v>
      </c>
      <c r="AU4" s="122">
        <f>NGT_TO!AU4</f>
        <v>46477</v>
      </c>
      <c r="AV4" s="122">
        <f>NGT_TO!AV4</f>
        <v>46843</v>
      </c>
      <c r="AW4" s="122">
        <f>NGT_TO!AW4</f>
        <v>47208</v>
      </c>
      <c r="AX4" s="122">
        <f>NGT_TO!AX4</f>
        <v>47573</v>
      </c>
      <c r="AY4" s="122">
        <f>NGT_TO!AY4</f>
        <v>47938</v>
      </c>
      <c r="BA4" s="127" t="s">
        <v>527</v>
      </c>
      <c r="BB4" s="127" t="s">
        <v>528</v>
      </c>
      <c r="BC4" s="127" t="s">
        <v>529</v>
      </c>
      <c r="BD4" s="127" t="s">
        <v>530</v>
      </c>
    </row>
    <row r="5" spans="1:58" ht="16">
      <c r="AP5" s="1"/>
      <c r="AQ5" s="1"/>
      <c r="AR5" s="1"/>
      <c r="AS5" s="1"/>
      <c r="AT5" s="100"/>
    </row>
    <row r="6" spans="1:58" ht="20" thickBot="1">
      <c r="A6" s="15" t="s">
        <v>400</v>
      </c>
      <c r="BA6"/>
      <c r="BB6"/>
      <c r="BF6"/>
    </row>
    <row r="7" spans="1:58" outlineLevel="1" thickTop="1">
      <c r="D7" s="1" t="str" cm="1">
        <f t="array" aca="1" ref="D7" ca="1">IFERROR(MID(_xlfn.FORMULATEXT(I7),FIND("=",_xlfn.FORMULATEXT(I7))+1,FIND("!",_xlfn.FORMULATEXT(I7))-2),MID(_xlfn.FORMULATEXT(INDEX(L7:AV7,MATCH(FALSE,ISBLANK(L7:AV7),0))),FIND("=",_xlfn.FORMULATEXT(INDEX(L7:AV7,MATCH(FALSE,ISBLANK(L7:AV7),0))))+1,FIND("!",_xlfn.FORMULATEXT(INDEX(L7:AV7,MATCH(FALSE,ISBLANK(L7:AV7),0))))-2))</f>
        <v>Transform_TO</v>
      </c>
      <c r="E7" t="s">
        <v>450</v>
      </c>
      <c r="G7" t="str">
        <f>Transform_TO!G264</f>
        <v>£m nominal</v>
      </c>
      <c r="AU7" s="95">
        <f>Transform_TO!AU264</f>
        <v>0</v>
      </c>
      <c r="AV7" s="69">
        <f>Transform_TO!AV264</f>
        <v>0</v>
      </c>
      <c r="AW7" s="69">
        <f>Transform_TO!AW264</f>
        <v>0</v>
      </c>
      <c r="AX7" s="69">
        <f>Transform_TO!AX264</f>
        <v>0</v>
      </c>
      <c r="AY7" s="69">
        <f>Transform_TO!AY264</f>
        <v>0</v>
      </c>
      <c r="BA7"/>
      <c r="BB7"/>
      <c r="BF7"/>
    </row>
    <row r="8" spans="1:58" ht="14.5" outlineLevel="1">
      <c r="D8" s="1" t="str" cm="1">
        <f t="array" aca="1" ref="D8" ca="1">IFERROR(MID(_xlfn.FORMULATEXT(I8),FIND("=",_xlfn.FORMULATEXT(I8))+1,FIND("!",_xlfn.FORMULATEXT(I8))-2),MID(_xlfn.FORMULATEXT(INDEX(L8:AV8,MATCH(FALSE,ISBLANK(L8:AV8),0))),FIND("=",_xlfn.FORMULATEXT(INDEX(L8:AV8,MATCH(FALSE,ISBLANK(L8:AV8),0))))+1,FIND("!",_xlfn.FORMULATEXT(INDEX(L8:AV8,MATCH(FALSE,ISBLANK(L8:AV8),0))))-2))</f>
        <v>Transform_TO</v>
      </c>
      <c r="E8" t="s">
        <v>456</v>
      </c>
      <c r="G8" t="str">
        <f>Transform_TO!G276</f>
        <v>annual nominal %</v>
      </c>
      <c r="AU8" s="99">
        <f>Transform_TO!AU276</f>
        <v>5.8267641724859133E-2</v>
      </c>
      <c r="AV8" s="70">
        <f>Transform_TO!AV276</f>
        <v>6.4883542303898922E-2</v>
      </c>
      <c r="AW8" s="70">
        <f>Transform_TO!AW276</f>
        <v>6.5286473689554356E-2</v>
      </c>
      <c r="AX8" s="70">
        <f>Transform_TO!AX276</f>
        <v>6.5870021424796796E-2</v>
      </c>
      <c r="AY8" s="70">
        <f>Transform_TO!AY276</f>
        <v>6.6817637737252494E-2</v>
      </c>
      <c r="BA8"/>
      <c r="BB8"/>
      <c r="BF8"/>
    </row>
    <row r="9" spans="1:58" ht="14.5" outlineLevel="1">
      <c r="D9" s="1" t="str" cm="1">
        <f t="array" aca="1" ref="D9" ca="1">IFERROR(MID(_xlfn.FORMULATEXT(I9),FIND("=",_xlfn.FORMULATEXT(I9))+1,FIND("!",_xlfn.FORMULATEXT(I9))-2),MID(_xlfn.FORMULATEXT(INDEX(L9:AV9,MATCH(FALSE,ISBLANK(L9:AV9),0))),FIND("=",_xlfn.FORMULATEXT(INDEX(L9:AV9,MATCH(FALSE,ISBLANK(L9:AV9),0))))+1,FIND("!",_xlfn.FORMULATEXT(INDEX(L9:AV9,MATCH(FALSE,ISBLANK(L9:AV9),0))))-2))</f>
        <v>Revenue_TO</v>
      </c>
      <c r="E9" t="s">
        <v>231</v>
      </c>
      <c r="G9" t="str">
        <f>price_label</f>
        <v>£m 23/24 prices</v>
      </c>
      <c r="AU9" s="95">
        <f>Revenue_TO!AU11</f>
        <v>1186.0554517895664</v>
      </c>
      <c r="AV9" s="69">
        <f>Revenue_TO!AV11</f>
        <v>1255.5546774378242</v>
      </c>
      <c r="AW9" s="69">
        <f>Revenue_TO!AW11</f>
        <v>1308.1383469140769</v>
      </c>
      <c r="AX9" s="69">
        <f>Revenue_TO!AX11</f>
        <v>1300.9164466657778</v>
      </c>
      <c r="AY9" s="69">
        <f>Revenue_TO!AY11</f>
        <v>1323.630937670772</v>
      </c>
      <c r="BA9"/>
      <c r="BB9"/>
      <c r="BF9"/>
    </row>
    <row r="10" spans="1:58" ht="14.5" outlineLevel="1">
      <c r="D10" s="1" t="str" cm="1">
        <f t="array" aca="1" ref="D10" ca="1">IFERROR(MID(_xlfn.FORMULATEXT(I10),FIND("=",_xlfn.FORMULATEXT(I10))+1,FIND("!",_xlfn.FORMULATEXT(I10))-2),MID(_xlfn.FORMULATEXT(INDEX(L10:AV10,MATCH(FALSE,ISBLANK(L10:AV10),0))),FIND("=",_xlfn.FORMULATEXT(INDEX(L10:AV10,MATCH(FALSE,ISBLANK(L10:AV10),0))))+1,FIND("!",_xlfn.FORMULATEXT(INDEX(L10:AV10,MATCH(FALSE,ISBLANK(L10:AV10),0))))-2))</f>
        <v>Transform_TO</v>
      </c>
      <c r="E10" t="s">
        <v>451</v>
      </c>
      <c r="G10" t="str">
        <f>Transform_TO!G265</f>
        <v>£m 23/24 prices</v>
      </c>
      <c r="AU10" s="95">
        <f>Transform_TO!AU265</f>
        <v>0</v>
      </c>
      <c r="AV10" s="69">
        <f>Transform_TO!AV265</f>
        <v>0</v>
      </c>
      <c r="AW10" s="69">
        <f>Transform_TO!AW265</f>
        <v>0</v>
      </c>
      <c r="AX10" s="69">
        <f>Transform_TO!AX265</f>
        <v>0</v>
      </c>
      <c r="AY10" s="69">
        <f>Transform_TO!AY265</f>
        <v>0</v>
      </c>
      <c r="BA10"/>
      <c r="BB10"/>
      <c r="BF10"/>
    </row>
    <row r="11" spans="1:58" ht="14.5" outlineLevel="1">
      <c r="D11" s="1" t="str" cm="1">
        <f t="array" aca="1" ref="D11" ca="1">IFERROR(MID(_xlfn.FORMULATEXT(I11),FIND("=",_xlfn.FORMULATEXT(I11))+1,FIND("!",_xlfn.FORMULATEXT(I11))-2),MID(_xlfn.FORMULATEXT(INDEX(L11:AV11,MATCH(FALSE,ISBLANK(L11:AV11),0))),FIND("=",_xlfn.FORMULATEXT(INDEX(L11:AV11,MATCH(FALSE,ISBLANK(L11:AV11),0))))+1,FIND("!",_xlfn.FORMULATEXT(INDEX(L11:AV11,MATCH(FALSE,ISBLANK(L11:AV11),0))))-2))</f>
        <v>Transform_TO</v>
      </c>
      <c r="E11" t="s">
        <v>1021</v>
      </c>
      <c r="G11" t="str">
        <f>Transform_TO!G268</f>
        <v>%</v>
      </c>
      <c r="I11" s="70">
        <f>Transform_TO!I268</f>
        <v>0.06</v>
      </c>
      <c r="BA11"/>
      <c r="BB11"/>
      <c r="BF11"/>
    </row>
    <row r="12" spans="1:58" ht="15" customHeight="1" outlineLevel="1">
      <c r="D12" s="1" t="str" cm="1">
        <f t="array" aca="1" ref="D12" ca="1">IFERROR(MID(_xlfn.FORMULATEXT(I12),FIND("=",_xlfn.FORMULATEXT(I12))+1,FIND("!",_xlfn.FORMULATEXT(I12))-2),MID(_xlfn.FORMULATEXT(INDEX(L12:AV12,MATCH(FALSE,ISBLANK(L12:AV12),0))),FIND("=",_xlfn.FORMULATEXT(INDEX(L12:AV12,MATCH(FALSE,ISBLANK(L12:AV12),0))))+1,FIND("!",_xlfn.FORMULATEXT(INDEX(L12:AV12,MATCH(FALSE,ISBLANK(L12:AV12),0))))-2))</f>
        <v>Transform_TO</v>
      </c>
      <c r="E12" t="s">
        <v>452</v>
      </c>
      <c r="G12" t="str">
        <f>Transform_TO!G270</f>
        <v>%</v>
      </c>
      <c r="I12" s="70">
        <f>Transform_TO!I270</f>
        <v>1.15E-2</v>
      </c>
      <c r="BA12"/>
      <c r="BB12"/>
      <c r="BF12"/>
    </row>
    <row r="13" spans="1:58" ht="15" customHeight="1" outlineLevel="1">
      <c r="D13" s="1" t="str" cm="1">
        <f t="array" aca="1" ref="D13" ca="1">IFERROR(MID(_xlfn.FORMULATEXT(I13),FIND("=",_xlfn.FORMULATEXT(I13))+1,FIND("!",_xlfn.FORMULATEXT(I13))-2),MID(_xlfn.FORMULATEXT(INDEX(L13:AV13,MATCH(FALSE,ISBLANK(L13:AV13),0))),FIND("=",_xlfn.FORMULATEXT(INDEX(L13:AV13,MATCH(FALSE,ISBLANK(L13:AV13),0))))+1,FIND("!",_xlfn.FORMULATEXT(INDEX(L13:AV13,MATCH(FALSE,ISBLANK(L13:AV13),0))))-2))</f>
        <v>Transform_TO</v>
      </c>
      <c r="E13" t="s">
        <v>120</v>
      </c>
      <c r="G13" t="str">
        <f>Transform_TO!G170</f>
        <v>scalar</v>
      </c>
      <c r="AU13" s="101">
        <f>Transform_TO!AU170</f>
        <v>1.0955743936244313</v>
      </c>
      <c r="AV13" s="71">
        <f>Transform_TO!AV170</f>
        <v>1.1189764907239503</v>
      </c>
      <c r="AW13" s="71">
        <f>Transform_TO!AW170</f>
        <v>1.1427183403407986</v>
      </c>
      <c r="AX13" s="71">
        <f>Transform_TO!AX170</f>
        <v>1.1667944795393224</v>
      </c>
      <c r="AY13" s="71">
        <f>Transform_TO!AY170</f>
        <v>1.191666589299726</v>
      </c>
    </row>
    <row r="14" spans="1:58" ht="14.5" outlineLevel="1">
      <c r="D14" s="1" t="str" cm="1">
        <f t="array" aca="1" ref="D14" ca="1">IFERROR(MID(_xlfn.FORMULATEXT(I14),FIND("=",_xlfn.FORMULATEXT(I14))+1,FIND("!",_xlfn.FORMULATEXT(I14))-2),MID(_xlfn.FORMULATEXT(INDEX(L14:AV14,MATCH(FALSE,ISBLANK(L14:AV14),0))),FIND("=",_xlfn.FORMULATEXT(INDEX(L14:AV14,MATCH(FALSE,ISBLANK(L14:AV14),0))))+1,FIND("!",_xlfn.FORMULATEXT(INDEX(L14:AV14,MATCH(FALSE,ISBLANK(L14:AV14),0))))-2))</f>
        <v>Transform_TO</v>
      </c>
      <c r="E14" t="s">
        <v>454</v>
      </c>
      <c r="G14" t="str">
        <f>Transform_TO!G269</f>
        <v>scalar</v>
      </c>
      <c r="AV14" s="69">
        <f>Transform_TO!AV269</f>
        <v>1</v>
      </c>
      <c r="AW14" s="69">
        <f>Transform_TO!AW269</f>
        <v>1</v>
      </c>
      <c r="AX14" s="69">
        <f>Transform_TO!AX269</f>
        <v>1</v>
      </c>
      <c r="AY14" s="69">
        <f>Transform_TO!AY269</f>
        <v>1</v>
      </c>
      <c r="BA14"/>
      <c r="BB14"/>
      <c r="BF14"/>
    </row>
    <row r="15" spans="1:58" ht="15" customHeight="1" outlineLevel="1">
      <c r="D15" s="1" t="str" cm="1">
        <f t="array" aca="1" ref="D15" ca="1">IFERROR(MID(_xlfn.FORMULATEXT(I15),FIND("=",_xlfn.FORMULATEXT(I15))+1,FIND("!",_xlfn.FORMULATEXT(I15))-2),MID(_xlfn.FORMULATEXT(INDEX(L15:AV15,MATCH(FALSE,ISBLANK(L15:AV15),0))),FIND("=",_xlfn.FORMULATEXT(INDEX(L15:AV15,MATCH(FALSE,ISBLANK(L15:AV15),0))))+1,FIND("!",_xlfn.FORMULATEXT(INDEX(L15:AV15,MATCH(FALSE,ISBLANK(L15:AV15),0))))-2))</f>
        <v>Transform_TO</v>
      </c>
      <c r="E15" t="s">
        <v>547</v>
      </c>
      <c r="G15" t="str">
        <f>nominal</f>
        <v>£m nominal</v>
      </c>
      <c r="AU15" s="95">
        <f>Transform_TO!AU266</f>
        <v>0</v>
      </c>
      <c r="AV15" s="69">
        <f>Transform_TO!AV266</f>
        <v>0</v>
      </c>
      <c r="AW15" s="69">
        <f>Transform_TO!AW266</f>
        <v>0</v>
      </c>
      <c r="AX15" s="69">
        <f>Transform_TO!AX266</f>
        <v>0</v>
      </c>
      <c r="AY15" s="69">
        <f>Transform_TO!AY266</f>
        <v>0</v>
      </c>
    </row>
    <row r="16" spans="1:58" ht="15" customHeight="1" outlineLevel="1">
      <c r="D16" s="1" t="str" cm="1">
        <f t="array" aca="1" ref="D16" ca="1">IFERROR(MID(_xlfn.FORMULATEXT(I16),FIND("=",_xlfn.FORMULATEXT(I16))+1,FIND("!",_xlfn.FORMULATEXT(I16))-2),MID(_xlfn.FORMULATEXT(INDEX(L16:AV16,MATCH(FALSE,ISBLANK(L16:AV16),0))),FIND("=",_xlfn.FORMULATEXT(INDEX(L16:AV16,MATCH(FALSE,ISBLANK(L16:AV16),0))))+1,FIND("!",_xlfn.FORMULATEXT(INDEX(L16:AV16,MATCH(FALSE,ISBLANK(L16:AV16),0))))-2))</f>
        <v>Transform_TO</v>
      </c>
      <c r="E16" t="s">
        <v>1022</v>
      </c>
      <c r="G16" t="s">
        <v>33</v>
      </c>
      <c r="I16" s="70">
        <f>Transform_TO!I271</f>
        <v>0.06</v>
      </c>
      <c r="BA16"/>
      <c r="BB16"/>
      <c r="BC16"/>
      <c r="BF16"/>
    </row>
    <row r="17" spans="1:58" ht="15" customHeight="1" outlineLevel="1">
      <c r="D17" s="1" t="str" cm="1">
        <f t="array" aca="1" ref="D17" ca="1">IFERROR(MID(_xlfn.FORMULATEXT(I17),FIND("=",_xlfn.FORMULATEXT(I17))+1,FIND("!",_xlfn.FORMULATEXT(I17))-2),MID(_xlfn.FORMULATEXT(INDEX(L17:AV17,MATCH(FALSE,ISBLANK(L17:AV17),0))),FIND("=",_xlfn.FORMULATEXT(INDEX(L17:AV17,MATCH(FALSE,ISBLANK(L17:AV17),0))))+1,FIND("!",_xlfn.FORMULATEXT(INDEX(L17:AV17,MATCH(FALSE,ISBLANK(L17:AV17),0))))-2))</f>
        <v>Transform_TO</v>
      </c>
      <c r="E17" t="s">
        <v>453</v>
      </c>
      <c r="G17" t="str">
        <f>Transform_TO!G273</f>
        <v>%</v>
      </c>
      <c r="I17" s="70">
        <f>Transform_TO!I273</f>
        <v>1.15E-2</v>
      </c>
    </row>
    <row r="18" spans="1:58" ht="15" customHeight="1" outlineLevel="1">
      <c r="D18" s="1" t="str" cm="1">
        <f t="array" aca="1" ref="D18" ca="1">IFERROR(MID(_xlfn.FORMULATEXT(I18),FIND("=",_xlfn.FORMULATEXT(I18))+1,FIND("!",_xlfn.FORMULATEXT(I18))-2),MID(_xlfn.FORMULATEXT(INDEX(L18:AV18,MATCH(FALSE,ISBLANK(L18:AV18),0))),FIND("=",_xlfn.FORMULATEXT(INDEX(L18:AV18,MATCH(FALSE,ISBLANK(L18:AV18),0))))+1,FIND("!",_xlfn.FORMULATEXT(INDEX(L18:AV18,MATCH(FALSE,ISBLANK(L18:AV18),0))))-2))</f>
        <v>Transform_TO</v>
      </c>
      <c r="E18" t="s">
        <v>455</v>
      </c>
      <c r="G18" t="str">
        <f>Transform_TO!G272</f>
        <v>scalar</v>
      </c>
      <c r="AV18" s="69">
        <f>Transform_TO!AV272</f>
        <v>1</v>
      </c>
      <c r="AW18" s="69">
        <f>Transform_TO!AW272</f>
        <v>1</v>
      </c>
      <c r="AX18" s="69">
        <f>Transform_TO!AX272</f>
        <v>1</v>
      </c>
      <c r="AY18" s="69">
        <f>Transform_TO!AY272</f>
        <v>1</v>
      </c>
      <c r="BA18"/>
      <c r="BB18"/>
      <c r="BF18"/>
    </row>
    <row r="19" spans="1:58" ht="14.5" outlineLevel="1">
      <c r="D19" s="1" t="str" cm="1">
        <f t="array" aca="1" ref="D19" ca="1">IFERROR(MID(_xlfn.FORMULATEXT(I19),FIND("=",_xlfn.FORMULATEXT(I19))+1,FIND("!",_xlfn.FORMULATEXT(I19))-2),MID(_xlfn.FORMULATEXT(INDEX(L19:AV19,MATCH(FALSE,ISBLANK(L19:AV19),0))),FIND("=",_xlfn.FORMULATEXT(INDEX(L19:AV19,MATCH(FALSE,ISBLANK(L19:AV19),0))))+1,FIND("!",_xlfn.FORMULATEXT(INDEX(L19:AV19,MATCH(FALSE,ISBLANK(L19:AV19),0))))-2))</f>
        <v>Revenue_TO</v>
      </c>
      <c r="E19" t="s">
        <v>233</v>
      </c>
      <c r="G19" t="str">
        <f>price_label</f>
        <v>£m 23/24 prices</v>
      </c>
      <c r="AU19" s="95">
        <f ca="1">Revenue_TO!AU22</f>
        <v>1170.0140657446009</v>
      </c>
      <c r="AV19" s="69">
        <f ca="1">Revenue_TO!AV22</f>
        <v>1245.7026891179125</v>
      </c>
      <c r="AW19" s="69">
        <f ca="1">Revenue_TO!AW22</f>
        <v>1318.3107462697847</v>
      </c>
      <c r="AX19" s="69">
        <f ca="1">Revenue_TO!AX22</f>
        <v>1375.8955622200424</v>
      </c>
      <c r="AY19" s="69">
        <f ca="1">Revenue_TO!AY22</f>
        <v>1447.5094512264411</v>
      </c>
      <c r="BA19"/>
      <c r="BB19"/>
      <c r="BF19"/>
    </row>
    <row r="20" spans="1:58" ht="14.5" outlineLevel="1">
      <c r="D20" s="1" t="str" cm="1">
        <f t="array" aca="1" ref="D20" ca="1">IFERROR(MID(_xlfn.FORMULATEXT(I20),FIND("=",_xlfn.FORMULATEXT(I20))+1,FIND("!",_xlfn.FORMULATEXT(I20))-2),MID(_xlfn.FORMULATEXT(INDEX(L20:AV20,MATCH(FALSE,ISBLANK(L20:AV20),0))),FIND("=",_xlfn.FORMULATEXT(INDEX(L20:AV20,MATCH(FALSE,ISBLANK(L20:AV20),0))))+1,FIND("!",_xlfn.FORMULATEXT(INDEX(L20:AV20,MATCH(FALSE,ISBLANK(L20:AV20),0))))-2))</f>
        <v>Transform_TO</v>
      </c>
      <c r="E20" t="s">
        <v>820</v>
      </c>
      <c r="G20" t="str">
        <f>Transform_TO!G287</f>
        <v>£m nominal</v>
      </c>
      <c r="AU20" s="95">
        <f>Transform_TO!AU287</f>
        <v>-8.7526517559091204</v>
      </c>
      <c r="AV20" s="69">
        <f>Transform_TO!AV287</f>
        <v>0</v>
      </c>
      <c r="AW20" s="69">
        <f>Transform_TO!AW287</f>
        <v>0</v>
      </c>
      <c r="AX20" s="69">
        <f>Transform_TO!AX287</f>
        <v>0</v>
      </c>
      <c r="AY20" s="69">
        <f>Transform_TO!AY287</f>
        <v>0</v>
      </c>
      <c r="BA20"/>
      <c r="BB20"/>
      <c r="BF20"/>
    </row>
    <row r="21" spans="1:58" ht="15" customHeight="1"/>
    <row r="22" spans="1:58" ht="15" customHeight="1" thickBot="1">
      <c r="A22" s="15" t="s">
        <v>458</v>
      </c>
    </row>
    <row r="23" spans="1:58" ht="15" customHeight="1" thickTop="1">
      <c r="E23" t="s">
        <v>548</v>
      </c>
      <c r="F23" t="s">
        <v>794</v>
      </c>
      <c r="G23" t="str">
        <f>nominal</f>
        <v>£m nominal</v>
      </c>
      <c r="H23" t="s">
        <v>964</v>
      </c>
      <c r="AU23" s="96">
        <f ca="1">AU62</f>
        <v>1273.0847988542876</v>
      </c>
      <c r="AV23" s="61">
        <f t="shared" ref="AV23:AY23" ca="1" si="0">AV62</f>
        <v>1393.9120235545499</v>
      </c>
      <c r="AW23" s="61">
        <f t="shared" ca="1" si="0"/>
        <v>1506.457868030848</v>
      </c>
      <c r="AX23" s="61">
        <f t="shared" ca="1" si="0"/>
        <v>1605.3873464209978</v>
      </c>
      <c r="AY23" s="61">
        <f t="shared" ca="1" si="0"/>
        <v>1724.9486507221311</v>
      </c>
      <c r="BA23" s="116" t="str">
        <f ca="1">$A$1</f>
        <v>AllowedRevenue_TO</v>
      </c>
      <c r="BB23" s="1" t="str">
        <f>$A$22</f>
        <v>Correction term</v>
      </c>
    </row>
    <row r="24" spans="1:58" ht="15" customHeight="1">
      <c r="BA24"/>
      <c r="BB24"/>
      <c r="BF24"/>
    </row>
    <row r="25" spans="1:58" ht="15" customHeight="1">
      <c r="E25" t="s">
        <v>450</v>
      </c>
      <c r="G25" t="str">
        <f>nominal</f>
        <v>£m nominal</v>
      </c>
      <c r="AU25" s="97">
        <f>AU7</f>
        <v>0</v>
      </c>
      <c r="AV25" s="38">
        <f>AV7</f>
        <v>0</v>
      </c>
      <c r="AW25" s="38">
        <f>AW7</f>
        <v>0</v>
      </c>
      <c r="AX25" s="38">
        <f>AX7</f>
        <v>0</v>
      </c>
      <c r="AY25" s="38">
        <f>AY7</f>
        <v>0</v>
      </c>
      <c r="BA25" s="116" t="str">
        <f ca="1">$A$1</f>
        <v>AllowedRevenue_TO</v>
      </c>
      <c r="BB25" s="1" t="str">
        <f>$A$22</f>
        <v>Correction term</v>
      </c>
    </row>
    <row r="26" spans="1:58" ht="15" customHeight="1">
      <c r="E26" t="s">
        <v>549</v>
      </c>
      <c r="G26" t="str">
        <f>nominal</f>
        <v>£m nominal</v>
      </c>
      <c r="AU26" s="96">
        <f t="shared" ref="AU26:AY26" ca="1" si="1">IF(AU25=0,AU23,0)</f>
        <v>1273.0847988542876</v>
      </c>
      <c r="AV26" s="61">
        <f t="shared" ca="1" si="1"/>
        <v>1393.9120235545499</v>
      </c>
      <c r="AW26" s="61">
        <f t="shared" ca="1" si="1"/>
        <v>1506.457868030848</v>
      </c>
      <c r="AX26" s="61">
        <f t="shared" ca="1" si="1"/>
        <v>1605.3873464209978</v>
      </c>
      <c r="AY26" s="61">
        <f t="shared" ca="1" si="1"/>
        <v>1724.9486507221311</v>
      </c>
      <c r="BA26" s="116" t="str">
        <f ca="1">$A$1</f>
        <v>AllowedRevenue_TO</v>
      </c>
      <c r="BB26" s="1" t="str">
        <f>$A$22</f>
        <v>Correction term</v>
      </c>
    </row>
    <row r="27" spans="1:58" ht="15" customHeight="1">
      <c r="E27" t="s">
        <v>450</v>
      </c>
      <c r="F27" t="s">
        <v>794</v>
      </c>
      <c r="G27" t="str">
        <f>nominal</f>
        <v>£m nominal</v>
      </c>
      <c r="H27" t="s">
        <v>927</v>
      </c>
      <c r="AU27" s="96">
        <f t="shared" ref="AU27:AY27" ca="1" si="2">SUM(AU25:AU26)</f>
        <v>1273.0847988542876</v>
      </c>
      <c r="AV27" s="61">
        <f t="shared" ca="1" si="2"/>
        <v>1393.9120235545499</v>
      </c>
      <c r="AW27" s="61">
        <f t="shared" ca="1" si="2"/>
        <v>1506.457868030848</v>
      </c>
      <c r="AX27" s="61">
        <f t="shared" ca="1" si="2"/>
        <v>1605.3873464209978</v>
      </c>
      <c r="AY27" s="61">
        <f t="shared" ca="1" si="2"/>
        <v>1724.9486507221311</v>
      </c>
      <c r="BA27" s="116" t="str">
        <f ca="1">$A$1</f>
        <v>AllowedRevenue_TO</v>
      </c>
      <c r="BB27" s="1" t="str">
        <f>$A$22</f>
        <v>Correction term</v>
      </c>
    </row>
    <row r="28" spans="1:58" ht="15" customHeight="1">
      <c r="E28" t="s">
        <v>550</v>
      </c>
      <c r="G28" t="str">
        <f>nominal</f>
        <v>£m nominal</v>
      </c>
      <c r="AU28" s="96">
        <f t="shared" ref="AU28:AY28" ca="1" si="3">AU23-AU27</f>
        <v>0</v>
      </c>
      <c r="AV28" s="61">
        <f t="shared" ca="1" si="3"/>
        <v>0</v>
      </c>
      <c r="AW28" s="61">
        <f t="shared" ca="1" si="3"/>
        <v>0</v>
      </c>
      <c r="AX28" s="61">
        <f t="shared" ca="1" si="3"/>
        <v>0</v>
      </c>
      <c r="AY28" s="61">
        <f t="shared" ca="1" si="3"/>
        <v>0</v>
      </c>
      <c r="BA28" s="116" t="str">
        <f ca="1">$A$1</f>
        <v>AllowedRevenue_TO</v>
      </c>
      <c r="BB28" s="1" t="str">
        <f>$A$22</f>
        <v>Correction term</v>
      </c>
      <c r="BF28"/>
    </row>
    <row r="29" spans="1:58" ht="15" customHeight="1">
      <c r="BA29"/>
      <c r="BB29"/>
      <c r="BF29"/>
    </row>
    <row r="30" spans="1:58" ht="15" customHeight="1">
      <c r="E30" t="s">
        <v>458</v>
      </c>
      <c r="F30" t="s">
        <v>794</v>
      </c>
      <c r="G30" t="str">
        <f>nominal</f>
        <v>£m nominal</v>
      </c>
      <c r="H30" t="s">
        <v>965</v>
      </c>
      <c r="AV30" s="61">
        <f ca="1">AU28*(1+AU8)</f>
        <v>0</v>
      </c>
      <c r="AW30" s="61">
        <f ca="1">AV28*(1+AV8)</f>
        <v>0</v>
      </c>
      <c r="AX30" s="61">
        <f ca="1">AW28*(1+AW8)</f>
        <v>0</v>
      </c>
      <c r="AY30" s="61">
        <f ca="1">AX28*(1+AX8)</f>
        <v>0</v>
      </c>
      <c r="BA30" s="116" t="str">
        <f ca="1">$A$1</f>
        <v>AllowedRevenue_TO</v>
      </c>
      <c r="BB30" s="1" t="str">
        <f>$A$22</f>
        <v>Correction term</v>
      </c>
    </row>
    <row r="31" spans="1:58" ht="15" customHeight="1"/>
    <row r="32" spans="1:58" ht="15" customHeight="1" thickBot="1">
      <c r="A32" s="15" t="s">
        <v>459</v>
      </c>
    </row>
    <row r="33" spans="2:58" ht="15" customHeight="1" thickTop="1" thickBot="1">
      <c r="B33" s="17" t="s">
        <v>460</v>
      </c>
      <c r="BA33"/>
      <c r="BB33"/>
      <c r="BF33"/>
    </row>
    <row r="34" spans="2:58" ht="15" customHeight="1" thickTop="1">
      <c r="E34" t="s">
        <v>630</v>
      </c>
      <c r="F34" t="s">
        <v>794</v>
      </c>
      <c r="G34" t="str">
        <f>price_label</f>
        <v>£m 23/24 prices</v>
      </c>
      <c r="H34" t="s">
        <v>966</v>
      </c>
      <c r="AU34" s="96">
        <f>AU9</f>
        <v>1186.0554517895664</v>
      </c>
      <c r="AV34" s="61">
        <f t="shared" ref="AV34:AY34" si="4">AV9</f>
        <v>1255.5546774378242</v>
      </c>
      <c r="AW34" s="61">
        <f t="shared" si="4"/>
        <v>1308.1383469140769</v>
      </c>
      <c r="AX34" s="61">
        <f t="shared" si="4"/>
        <v>1300.9164466657778</v>
      </c>
      <c r="AY34" s="61">
        <f t="shared" si="4"/>
        <v>1323.630937670772</v>
      </c>
      <c r="BA34" s="116" t="str">
        <f ca="1">$A$1</f>
        <v>AllowedRevenue_TO</v>
      </c>
      <c r="BB34" s="1" t="str">
        <f>$A$32</f>
        <v>Forecasting penalty</v>
      </c>
      <c r="BC34" s="1" t="str">
        <f>$B$33</f>
        <v>Base Revenue</v>
      </c>
    </row>
    <row r="35" spans="2:58" ht="15" customHeight="1">
      <c r="BA35"/>
      <c r="BB35"/>
      <c r="BF35"/>
    </row>
    <row r="36" spans="2:58" ht="15" customHeight="1">
      <c r="E36" t="s">
        <v>631</v>
      </c>
      <c r="G36" t="str">
        <f>price_label</f>
        <v>£m 23/24 prices</v>
      </c>
      <c r="AU36" s="96">
        <f t="shared" ref="AU36:AY36" si="5">AU10</f>
        <v>0</v>
      </c>
      <c r="AV36" s="61">
        <f t="shared" si="5"/>
        <v>0</v>
      </c>
      <c r="AW36" s="61">
        <f t="shared" si="5"/>
        <v>0</v>
      </c>
      <c r="AX36" s="61">
        <f t="shared" si="5"/>
        <v>0</v>
      </c>
      <c r="AY36" s="61">
        <f t="shared" si="5"/>
        <v>0</v>
      </c>
      <c r="BA36" s="116" t="str">
        <f ca="1">$A$1</f>
        <v>AllowedRevenue_TO</v>
      </c>
      <c r="BB36" s="1" t="str">
        <f>$A$32</f>
        <v>Forecasting penalty</v>
      </c>
      <c r="BC36" s="1" t="str">
        <f>$B$33</f>
        <v>Base Revenue</v>
      </c>
    </row>
    <row r="37" spans="2:58" ht="15" customHeight="1">
      <c r="E37" t="s">
        <v>632</v>
      </c>
      <c r="G37" t="str">
        <f>price_label</f>
        <v>£m 23/24 prices</v>
      </c>
      <c r="AU37" s="96">
        <f t="shared" ref="AU37:AY37" si="6">IF(AU36=0,AU34,0)</f>
        <v>1186.0554517895664</v>
      </c>
      <c r="AV37" s="61">
        <f t="shared" si="6"/>
        <v>1255.5546774378242</v>
      </c>
      <c r="AW37" s="61">
        <f t="shared" si="6"/>
        <v>1308.1383469140769</v>
      </c>
      <c r="AX37" s="61">
        <f t="shared" si="6"/>
        <v>1300.9164466657778</v>
      </c>
      <c r="AY37" s="61">
        <f t="shared" si="6"/>
        <v>1323.630937670772</v>
      </c>
      <c r="BA37" s="116" t="str">
        <f ca="1">$A$1</f>
        <v>AllowedRevenue_TO</v>
      </c>
      <c r="BB37" s="1" t="str">
        <f>$A$32</f>
        <v>Forecasting penalty</v>
      </c>
      <c r="BC37" s="1" t="str">
        <f>$B$33</f>
        <v>Base Revenue</v>
      </c>
    </row>
    <row r="38" spans="2:58" ht="15" customHeight="1">
      <c r="E38" t="s">
        <v>451</v>
      </c>
      <c r="F38" t="s">
        <v>794</v>
      </c>
      <c r="G38" t="str">
        <f>price_label</f>
        <v>£m 23/24 prices</v>
      </c>
      <c r="H38" t="s">
        <v>928</v>
      </c>
      <c r="AU38" s="96">
        <f t="shared" ref="AU38:AY38" si="7">SUM(AU36:AU37)</f>
        <v>1186.0554517895664</v>
      </c>
      <c r="AV38" s="61">
        <f t="shared" si="7"/>
        <v>1255.5546774378242</v>
      </c>
      <c r="AW38" s="61">
        <f t="shared" si="7"/>
        <v>1308.1383469140769</v>
      </c>
      <c r="AX38" s="61">
        <f t="shared" si="7"/>
        <v>1300.9164466657778</v>
      </c>
      <c r="AY38" s="61">
        <f t="shared" si="7"/>
        <v>1323.630937670772</v>
      </c>
      <c r="BA38" s="116" t="str">
        <f ca="1">$A$1</f>
        <v>AllowedRevenue_TO</v>
      </c>
      <c r="BB38" s="1" t="str">
        <f>$A$32</f>
        <v>Forecasting penalty</v>
      </c>
      <c r="BC38" s="1" t="str">
        <f>$B$33</f>
        <v>Base Revenue</v>
      </c>
    </row>
    <row r="39" spans="2:58" ht="15" customHeight="1">
      <c r="E39" t="s">
        <v>633</v>
      </c>
      <c r="G39" t="str">
        <f>price_label</f>
        <v>£m 23/24 prices</v>
      </c>
      <c r="AU39" s="96">
        <f t="shared" ref="AU39:AY39" si="8">AU34-AU38</f>
        <v>0</v>
      </c>
      <c r="AV39" s="61">
        <f t="shared" si="8"/>
        <v>0</v>
      </c>
      <c r="AW39" s="61">
        <f t="shared" si="8"/>
        <v>0</v>
      </c>
      <c r="AX39" s="61">
        <f t="shared" si="8"/>
        <v>0</v>
      </c>
      <c r="AY39" s="61">
        <f t="shared" si="8"/>
        <v>0</v>
      </c>
      <c r="BA39" s="116" t="str">
        <f ca="1">$A$1</f>
        <v>AllowedRevenue_TO</v>
      </c>
      <c r="BB39" s="1" t="str">
        <f>$A$32</f>
        <v>Forecasting penalty</v>
      </c>
      <c r="BC39" s="1" t="str">
        <f>$B$33</f>
        <v>Base Revenue</v>
      </c>
    </row>
    <row r="40" spans="2:58" ht="15" customHeight="1"/>
    <row r="41" spans="2:58" ht="15" customHeight="1">
      <c r="E41" t="s">
        <v>634</v>
      </c>
      <c r="G41" t="s">
        <v>21</v>
      </c>
      <c r="AU41" s="96">
        <f t="shared" ref="AU41:AY41" si="9">IFERROR(AU38/AU34,0)</f>
        <v>1</v>
      </c>
      <c r="AV41" s="61">
        <f t="shared" si="9"/>
        <v>1</v>
      </c>
      <c r="AW41" s="61">
        <f t="shared" si="9"/>
        <v>1</v>
      </c>
      <c r="AX41" s="61">
        <f t="shared" si="9"/>
        <v>1</v>
      </c>
      <c r="AY41" s="61">
        <f t="shared" si="9"/>
        <v>1</v>
      </c>
      <c r="BA41" s="116" t="str">
        <f t="shared" ref="BA41:BA43" ca="1" si="10">$A$1</f>
        <v>AllowedRevenue_TO</v>
      </c>
      <c r="BB41" s="1" t="str">
        <f t="shared" ref="BB41:BB43" si="11">$A$32</f>
        <v>Forecasting penalty</v>
      </c>
      <c r="BC41" s="1" t="str">
        <f t="shared" ref="BC41:BC43" si="12">$B$33</f>
        <v>Base Revenue</v>
      </c>
    </row>
    <row r="42" spans="2:58" ht="15" customHeight="1">
      <c r="E42" t="s">
        <v>635</v>
      </c>
      <c r="G42" t="s">
        <v>33</v>
      </c>
      <c r="AU42" s="144">
        <f>(IF(AU41&gt;=1+$I$11,1,0)+IF(AU41&lt;=1-$I$11,-1,0))*$I$12</f>
        <v>0</v>
      </c>
      <c r="AV42" s="62">
        <f>(IF(AV41&gt;=1+$I$11,1,0)+IF(AV41&lt;=1-$I$11,-1,0))*$I$12</f>
        <v>0</v>
      </c>
      <c r="AW42" s="62">
        <f>(IF(AW41&gt;=1+$I$11,1,0)+IF(AW41&lt;=1-$I$11,-1,0))*$I$12</f>
        <v>0</v>
      </c>
      <c r="AX42" s="62">
        <f>(IF(AX41&gt;=1+$I$11,1,0)+IF(AX41&lt;=1-$I$11,-1,0))*$I$12</f>
        <v>0</v>
      </c>
      <c r="AY42" s="62">
        <f>(IF(AY41&gt;=1+$I$11,1,0)+IF(AY41&lt;=1-$I$11,-1,0))*$I$12</f>
        <v>0</v>
      </c>
      <c r="BA42" s="116" t="str">
        <f t="shared" ca="1" si="10"/>
        <v>AllowedRevenue_TO</v>
      </c>
      <c r="BB42" s="1" t="str">
        <f t="shared" si="11"/>
        <v>Forecasting penalty</v>
      </c>
      <c r="BC42" s="1" t="str">
        <f t="shared" si="12"/>
        <v>Base Revenue</v>
      </c>
    </row>
    <row r="43" spans="2:58" ht="15" customHeight="1">
      <c r="E43" t="s">
        <v>636</v>
      </c>
      <c r="F43" t="s">
        <v>794</v>
      </c>
      <c r="G43" t="str">
        <f>nominal</f>
        <v>£m nominal</v>
      </c>
      <c r="H43" t="s">
        <v>967</v>
      </c>
      <c r="AW43" s="61">
        <f>AV39*AV13*AV14*AV42</f>
        <v>0</v>
      </c>
      <c r="AX43" s="61">
        <f>AW39*AW13*AW14*AW42</f>
        <v>0</v>
      </c>
      <c r="AY43" s="61">
        <f>AX39*AX13*AX14*AX42</f>
        <v>0</v>
      </c>
      <c r="BA43" s="116" t="str">
        <f t="shared" ca="1" si="10"/>
        <v>AllowedRevenue_TO</v>
      </c>
      <c r="BB43" s="1" t="str">
        <f t="shared" si="11"/>
        <v>Forecasting penalty</v>
      </c>
      <c r="BC43" s="1" t="str">
        <f t="shared" si="12"/>
        <v>Base Revenue</v>
      </c>
    </row>
    <row r="44" spans="2:58" ht="15" customHeight="1"/>
    <row r="45" spans="2:58" ht="15" customHeight="1" thickBot="1">
      <c r="B45" s="17" t="s">
        <v>450</v>
      </c>
    </row>
    <row r="46" spans="2:58" ht="15" customHeight="1" thickTop="1">
      <c r="E46" t="s">
        <v>637</v>
      </c>
      <c r="G46" t="str">
        <f>nominal</f>
        <v>£m nominal</v>
      </c>
      <c r="AU46" s="96">
        <f>AU15</f>
        <v>0</v>
      </c>
      <c r="AV46" s="61">
        <f t="shared" ref="AV46:AY46" si="13">AV15</f>
        <v>0</v>
      </c>
      <c r="AW46" s="61">
        <f t="shared" si="13"/>
        <v>0</v>
      </c>
      <c r="AX46" s="61">
        <f t="shared" si="13"/>
        <v>0</v>
      </c>
      <c r="AY46" s="61">
        <f t="shared" si="13"/>
        <v>0</v>
      </c>
      <c r="BA46" s="116" t="str">
        <f ca="1">$A$1</f>
        <v>AllowedRevenue_TO</v>
      </c>
      <c r="BB46" s="1" t="str">
        <f>$A$32</f>
        <v>Forecasting penalty</v>
      </c>
      <c r="BC46" s="1" t="str">
        <f>$B$45</f>
        <v>Recovered Revenue</v>
      </c>
    </row>
    <row r="47" spans="2:58" ht="15" customHeight="1">
      <c r="E47" t="s">
        <v>552</v>
      </c>
      <c r="G47" t="str">
        <f>nominal</f>
        <v>£m nominal</v>
      </c>
      <c r="AU47" s="96">
        <f t="shared" ref="AU47:AY47" ca="1" si="14">IF(AU46=0,AU23,0)</f>
        <v>1273.0847988542876</v>
      </c>
      <c r="AV47" s="61">
        <f t="shared" ca="1" si="14"/>
        <v>1393.9120235545499</v>
      </c>
      <c r="AW47" s="61">
        <f t="shared" ca="1" si="14"/>
        <v>1506.457868030848</v>
      </c>
      <c r="AX47" s="61">
        <f t="shared" ca="1" si="14"/>
        <v>1605.3873464209978</v>
      </c>
      <c r="AY47" s="61">
        <f t="shared" ca="1" si="14"/>
        <v>1724.9486507221311</v>
      </c>
      <c r="BA47" s="116" t="str">
        <f ca="1">$A$1</f>
        <v>AllowedRevenue_TO</v>
      </c>
      <c r="BB47" s="1" t="str">
        <f>$A$32</f>
        <v>Forecasting penalty</v>
      </c>
      <c r="BC47" s="1" t="str">
        <f>$B$45</f>
        <v>Recovered Revenue</v>
      </c>
    </row>
    <row r="48" spans="2:58" ht="15" customHeight="1">
      <c r="E48" t="s">
        <v>532</v>
      </c>
      <c r="F48" t="s">
        <v>794</v>
      </c>
      <c r="G48" t="str">
        <f>nominal</f>
        <v>£m nominal</v>
      </c>
      <c r="H48" t="s">
        <v>929</v>
      </c>
      <c r="AU48" s="96">
        <f t="shared" ref="AU48:AY48" ca="1" si="15">SUM(AU46:AU47)</f>
        <v>1273.0847988542876</v>
      </c>
      <c r="AV48" s="61">
        <f t="shared" ca="1" si="15"/>
        <v>1393.9120235545499</v>
      </c>
      <c r="AW48" s="61">
        <f t="shared" ca="1" si="15"/>
        <v>1506.457868030848</v>
      </c>
      <c r="AX48" s="61">
        <f t="shared" ca="1" si="15"/>
        <v>1605.3873464209978</v>
      </c>
      <c r="AY48" s="61">
        <f t="shared" ca="1" si="15"/>
        <v>1724.9486507221311</v>
      </c>
      <c r="BA48" s="116" t="str">
        <f ca="1">$A$1</f>
        <v>AllowedRevenue_TO</v>
      </c>
      <c r="BB48" s="1" t="str">
        <f>$A$32</f>
        <v>Forecasting penalty</v>
      </c>
      <c r="BC48" s="1" t="str">
        <f>$B$45</f>
        <v>Recovered Revenue</v>
      </c>
    </row>
    <row r="49" spans="1:55" ht="15" customHeight="1">
      <c r="E49" t="s">
        <v>551</v>
      </c>
      <c r="G49" t="str">
        <f>nominal</f>
        <v>£m nominal</v>
      </c>
      <c r="AU49" s="96">
        <f t="shared" ref="AU49:AY49" ca="1" si="16">AU27-AU48</f>
        <v>0</v>
      </c>
      <c r="AV49" s="61">
        <f t="shared" ca="1" si="16"/>
        <v>0</v>
      </c>
      <c r="AW49" s="61">
        <f t="shared" ca="1" si="16"/>
        <v>0</v>
      </c>
      <c r="AX49" s="61">
        <f t="shared" ca="1" si="16"/>
        <v>0</v>
      </c>
      <c r="AY49" s="61">
        <f t="shared" ca="1" si="16"/>
        <v>0</v>
      </c>
      <c r="BA49" s="116" t="str">
        <f ca="1">$A$1</f>
        <v>AllowedRevenue_TO</v>
      </c>
      <c r="BB49" s="1" t="str">
        <f>$A$32</f>
        <v>Forecasting penalty</v>
      </c>
      <c r="BC49" s="1" t="str">
        <f>$B$45</f>
        <v>Recovered Revenue</v>
      </c>
    </row>
    <row r="50" spans="1:55" ht="15" customHeight="1"/>
    <row r="51" spans="1:55" ht="15" customHeight="1">
      <c r="E51" t="s">
        <v>638</v>
      </c>
      <c r="G51" t="s">
        <v>21</v>
      </c>
      <c r="AU51" s="96">
        <f t="shared" ref="AU51:AY51" ca="1" si="17">IFERROR(AU48/AU27,0)</f>
        <v>1</v>
      </c>
      <c r="AV51" s="61">
        <f t="shared" ca="1" si="17"/>
        <v>1</v>
      </c>
      <c r="AW51" s="61">
        <f t="shared" ca="1" si="17"/>
        <v>1</v>
      </c>
      <c r="AX51" s="61">
        <f t="shared" ca="1" si="17"/>
        <v>1</v>
      </c>
      <c r="AY51" s="61">
        <f t="shared" ca="1" si="17"/>
        <v>1</v>
      </c>
      <c r="BA51" s="116" t="str">
        <f t="shared" ref="BA51:BA53" ca="1" si="18">$A$1</f>
        <v>AllowedRevenue_TO</v>
      </c>
      <c r="BB51" s="1" t="str">
        <f t="shared" ref="BB51:BB53" si="19">$A$32</f>
        <v>Forecasting penalty</v>
      </c>
      <c r="BC51" s="1" t="str">
        <f t="shared" ref="BC51:BC53" si="20">$B$45</f>
        <v>Recovered Revenue</v>
      </c>
    </row>
    <row r="52" spans="1:55" ht="15" customHeight="1">
      <c r="E52" t="s">
        <v>639</v>
      </c>
      <c r="G52" t="s">
        <v>33</v>
      </c>
      <c r="AU52" s="144">
        <f ca="1">(IF(AU51&gt;=1+$I$16,1,0)+IF(AU51&lt;=1-$I$16,-1,0))*$I$17</f>
        <v>0</v>
      </c>
      <c r="AV52" s="62">
        <f t="shared" ref="AV52:AY52" ca="1" si="21">(IF(AV51&gt;=1+$I$16,1,0)+IF(AV51&lt;=1-$I$16,-1,0))*$I$17</f>
        <v>0</v>
      </c>
      <c r="AW52" s="62">
        <f t="shared" ca="1" si="21"/>
        <v>0</v>
      </c>
      <c r="AX52" s="62">
        <f t="shared" ca="1" si="21"/>
        <v>0</v>
      </c>
      <c r="AY52" s="62">
        <f t="shared" ca="1" si="21"/>
        <v>0</v>
      </c>
      <c r="BA52" s="116" t="str">
        <f t="shared" ca="1" si="18"/>
        <v>AllowedRevenue_TO</v>
      </c>
      <c r="BB52" s="1" t="str">
        <f t="shared" si="19"/>
        <v>Forecasting penalty</v>
      </c>
      <c r="BC52" s="1" t="str">
        <f t="shared" si="20"/>
        <v>Recovered Revenue</v>
      </c>
    </row>
    <row r="53" spans="1:55" ht="15" customHeight="1">
      <c r="E53" t="s">
        <v>640</v>
      </c>
      <c r="F53" t="s">
        <v>794</v>
      </c>
      <c r="G53" t="str">
        <f>nominal</f>
        <v>£m nominal</v>
      </c>
      <c r="H53" t="s">
        <v>968</v>
      </c>
      <c r="AW53" s="61">
        <f ca="1">AV49*AV18*AV52</f>
        <v>0</v>
      </c>
      <c r="AX53" s="61">
        <f ca="1">AW49*AW18*AW52</f>
        <v>0</v>
      </c>
      <c r="AY53" s="61">
        <f ca="1">AX49*AX18*AX52</f>
        <v>0</v>
      </c>
      <c r="BA53" s="116" t="str">
        <f t="shared" ca="1" si="18"/>
        <v>AllowedRevenue_TO</v>
      </c>
      <c r="BB53" s="1" t="str">
        <f t="shared" si="19"/>
        <v>Forecasting penalty</v>
      </c>
      <c r="BC53" s="1" t="str">
        <f t="shared" si="20"/>
        <v>Recovered Revenue</v>
      </c>
    </row>
    <row r="54" spans="1:55" ht="15" customHeight="1"/>
    <row r="55" spans="1:55" ht="15" customHeight="1">
      <c r="E55" t="s">
        <v>461</v>
      </c>
      <c r="F55" t="s">
        <v>794</v>
      </c>
      <c r="G55" t="str">
        <f>nominal</f>
        <v>£m nominal</v>
      </c>
      <c r="H55" t="s">
        <v>969</v>
      </c>
      <c r="AW55" s="61">
        <f ca="1">SUM(AW43,AW53)</f>
        <v>0</v>
      </c>
      <c r="AX55" s="61">
        <f ca="1">SUM(AX43,AX53)</f>
        <v>0</v>
      </c>
      <c r="AY55" s="61">
        <f ca="1">SUM(AY43,AY53)</f>
        <v>0</v>
      </c>
      <c r="BA55" s="116" t="str">
        <f ca="1">$A$1</f>
        <v>AllowedRevenue_TO</v>
      </c>
      <c r="BB55" s="1" t="str">
        <f>$A$32</f>
        <v>Forecasting penalty</v>
      </c>
      <c r="BC55" s="1" t="str">
        <f>$B$45</f>
        <v>Recovered Revenue</v>
      </c>
    </row>
    <row r="56" spans="1:55" ht="15" customHeight="1"/>
    <row r="57" spans="1:55" ht="15" customHeight="1" thickBot="1">
      <c r="A57" s="15" t="s">
        <v>437</v>
      </c>
    </row>
    <row r="58" spans="1:55" ht="15" customHeight="1" thickTop="1">
      <c r="E58" t="s">
        <v>641</v>
      </c>
      <c r="G58" t="str">
        <f>nominal</f>
        <v>£m nominal</v>
      </c>
      <c r="H58" t="s">
        <v>970</v>
      </c>
      <c r="AU58" s="97">
        <f ca="1">AU19*PCf</f>
        <v>1281.8374506101966</v>
      </c>
      <c r="AV58" s="38">
        <f ca="1">AV19*PCf</f>
        <v>1393.9120235545499</v>
      </c>
      <c r="AW58" s="38">
        <f ca="1">AW19*PCf</f>
        <v>1506.457868030848</v>
      </c>
      <c r="AX58" s="38">
        <f ca="1">AX19*PCf</f>
        <v>1605.3873464209978</v>
      </c>
      <c r="AY58" s="38">
        <f ca="1">AY19*PCf</f>
        <v>1724.9486507221311</v>
      </c>
      <c r="BA58" s="116" t="str">
        <f ca="1">$A$1</f>
        <v>AllowedRevenue_TO</v>
      </c>
      <c r="BB58" s="1" t="str">
        <f>$A$57</f>
        <v>Allowed revenue</v>
      </c>
    </row>
    <row r="59" spans="1:55" ht="15" customHeight="1">
      <c r="E59" t="s">
        <v>462</v>
      </c>
      <c r="F59" t="s">
        <v>887</v>
      </c>
      <c r="G59" t="str">
        <f t="shared" ref="G59:G62" si="22">nominal</f>
        <v>£m nominal</v>
      </c>
      <c r="H59" t="s">
        <v>941</v>
      </c>
      <c r="AU59" s="97">
        <f>AU20</f>
        <v>-8.7526517559091204</v>
      </c>
      <c r="AV59" s="38">
        <f>AV20</f>
        <v>0</v>
      </c>
      <c r="AW59" s="38">
        <f>AW20</f>
        <v>0</v>
      </c>
      <c r="AX59" s="38">
        <f>AX20</f>
        <v>0</v>
      </c>
      <c r="AY59" s="38">
        <f>AY20</f>
        <v>0</v>
      </c>
      <c r="BA59" s="116" t="str">
        <f ca="1">$A$1</f>
        <v>AllowedRevenue_TO</v>
      </c>
      <c r="BB59" s="1" t="str">
        <f>$A$57</f>
        <v>Allowed revenue</v>
      </c>
    </row>
    <row r="60" spans="1:55" ht="15" customHeight="1">
      <c r="E60" t="s">
        <v>458</v>
      </c>
      <c r="F60" t="s">
        <v>794</v>
      </c>
      <c r="G60" t="str">
        <f t="shared" si="22"/>
        <v>£m nominal</v>
      </c>
      <c r="H60" t="s">
        <v>965</v>
      </c>
      <c r="AU60" s="97">
        <f>AU30</f>
        <v>0</v>
      </c>
      <c r="AV60" s="38">
        <f t="shared" ref="AV60:AY60" ca="1" si="23">AV30</f>
        <v>0</v>
      </c>
      <c r="AW60" s="38">
        <f t="shared" ca="1" si="23"/>
        <v>0</v>
      </c>
      <c r="AX60" s="38">
        <f t="shared" ca="1" si="23"/>
        <v>0</v>
      </c>
      <c r="AY60" s="38">
        <f t="shared" ca="1" si="23"/>
        <v>0</v>
      </c>
      <c r="BA60" s="116" t="str">
        <f ca="1">$A$1</f>
        <v>AllowedRevenue_TO</v>
      </c>
      <c r="BB60" s="1" t="str">
        <f>$A$57</f>
        <v>Allowed revenue</v>
      </c>
    </row>
    <row r="61" spans="1:55" ht="15" customHeight="1">
      <c r="E61" t="s">
        <v>459</v>
      </c>
      <c r="F61" t="s">
        <v>794</v>
      </c>
      <c r="G61" t="str">
        <f t="shared" si="22"/>
        <v>£m nominal</v>
      </c>
      <c r="H61" t="s">
        <v>969</v>
      </c>
      <c r="AU61" s="97">
        <f>AU55</f>
        <v>0</v>
      </c>
      <c r="AV61" s="38">
        <f t="shared" ref="AV61:AY61" si="24">AV55</f>
        <v>0</v>
      </c>
      <c r="AW61" s="38">
        <f t="shared" ca="1" si="24"/>
        <v>0</v>
      </c>
      <c r="AX61" s="38">
        <f t="shared" ca="1" si="24"/>
        <v>0</v>
      </c>
      <c r="AY61" s="38">
        <f t="shared" ca="1" si="24"/>
        <v>0</v>
      </c>
      <c r="BA61" s="116" t="str">
        <f ca="1">$A$1</f>
        <v>AllowedRevenue_TO</v>
      </c>
      <c r="BB61" s="1" t="str">
        <f>$A$57</f>
        <v>Allowed revenue</v>
      </c>
    </row>
    <row r="62" spans="1:55" ht="15" customHeight="1">
      <c r="E62" t="s">
        <v>548</v>
      </c>
      <c r="F62" t="s">
        <v>794</v>
      </c>
      <c r="G62" t="str">
        <f t="shared" si="22"/>
        <v>£m nominal</v>
      </c>
      <c r="H62" t="s">
        <v>964</v>
      </c>
      <c r="AU62" s="141">
        <f ca="1">SUM(AU58:AU61)</f>
        <v>1273.0847988542876</v>
      </c>
      <c r="AV62" s="65">
        <f t="shared" ref="AV62:AY62" ca="1" si="25">SUM(AV58:AV61)</f>
        <v>1393.9120235545499</v>
      </c>
      <c r="AW62" s="65">
        <f t="shared" ca="1" si="25"/>
        <v>1506.457868030848</v>
      </c>
      <c r="AX62" s="65">
        <f t="shared" ca="1" si="25"/>
        <v>1605.3873464209978</v>
      </c>
      <c r="AY62" s="65">
        <f t="shared" ca="1" si="25"/>
        <v>1724.9486507221311</v>
      </c>
      <c r="BA62" s="116" t="str">
        <f ca="1">$A$1</f>
        <v>AllowedRevenue_TO</v>
      </c>
      <c r="BB62" s="1" t="str">
        <f>$A$57</f>
        <v>Allowed revenue</v>
      </c>
    </row>
    <row r="63" spans="1:55" ht="15" customHeight="1"/>
    <row r="64" spans="1:55" ht="20" thickBot="1">
      <c r="A64" s="15" t="s">
        <v>241</v>
      </c>
    </row>
    <row r="65" ht="15" customHeight="1" thickTop="1"/>
    <row r="66" ht="15" customHeight="1"/>
  </sheetData>
  <conditionalFormatting sqref="H1">
    <cfRule type="cellIs" dxfId="3" priority="1" operator="equal">
      <formula>"ERROR"</formula>
    </cfRule>
  </conditionalFormatting>
  <pageMargins left="0.7" right="0.7" top="0.75" bottom="0.75" header="0.3" footer="0.3"/>
  <pageSetup paperSize="9" orientation="portrait" r:id="rId1"/>
  <headerFooter>
    <oddFooter>&amp;L_x000D_&amp;1#&amp;"Aptos"&amp;10&amp;K000000 National Gas | Business Use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289D51-080E-405E-8FA1-49E2EB806BA2}">
  <sheetPr codeName="Sheet21">
    <tabColor rgb="FFBAA0CC"/>
    <pageSetUpPr autoPageBreaks="0"/>
  </sheetPr>
  <dimension ref="A1:BF66"/>
  <sheetViews>
    <sheetView zoomScale="50" zoomScaleNormal="50" workbookViewId="0">
      <pane xSplit="10" ySplit="4" topLeftCell="AO28" activePane="bottomRight" state="frozen"/>
      <selection pane="topRight" activeCell="K1" sqref="K1"/>
      <selection pane="bottomLeft" activeCell="A5" sqref="A5"/>
      <selection pane="bottomRight" activeCell="AS64" sqref="AS64"/>
    </sheetView>
  </sheetViews>
  <sheetFormatPr defaultColWidth="0" defaultRowHeight="15" customHeight="1" zeroHeight="1" outlineLevelRow="1" outlineLevelCol="1"/>
  <cols>
    <col min="1" max="3" width="1.81640625" customWidth="1"/>
    <col min="4" max="4" width="15.7265625" customWidth="1"/>
    <col min="5" max="5" width="77.26953125" customWidth="1"/>
    <col min="6" max="6" width="8.7265625" customWidth="1"/>
    <col min="7" max="7" width="17.7265625" customWidth="1"/>
    <col min="8" max="8" width="9.7265625" customWidth="1"/>
    <col min="9" max="9" width="11.7265625" customWidth="1"/>
    <col min="10" max="10" width="2.08984375" customWidth="1"/>
    <col min="11" max="45" width="11.7265625" customWidth="1" outlineLevel="1"/>
    <col min="46" max="46" width="11.7265625" style="77" customWidth="1" outlineLevel="1"/>
    <col min="47" max="52" width="11.7265625" customWidth="1"/>
    <col min="53" max="55" width="10.7265625" style="1" customWidth="1"/>
    <col min="56" max="57" width="10.7265625" customWidth="1"/>
    <col min="58" max="58" width="1.7265625" style="8" customWidth="1"/>
    <col min="59" max="16384" width="9.08984375" hidden="1"/>
  </cols>
  <sheetData>
    <row r="1" spans="1:58" s="119" customFormat="1" ht="14.5">
      <c r="A1" s="118" t="str" cm="1">
        <f t="array" aca="1" ref="A1" ca="1">MID(CELL("filename",$A$1),FIND("]",CELL("filename",$A$1))+1,255)</f>
        <v>AllowedRevenue_SO</v>
      </c>
      <c r="G1" s="119" t="s">
        <v>515</v>
      </c>
      <c r="H1" s="38" t="str">
        <f ca="1">Checks!I7</f>
        <v>ERROR</v>
      </c>
      <c r="AT1" s="124"/>
      <c r="BA1" s="121"/>
      <c r="BB1" s="121"/>
      <c r="BC1" s="121"/>
    </row>
    <row r="2" spans="1:58" s="119" customFormat="1" ht="15" customHeight="1">
      <c r="AT2" s="124"/>
      <c r="BA2" s="121"/>
      <c r="BB2" s="121"/>
      <c r="BC2" s="121"/>
    </row>
    <row r="3" spans="1:58" s="119" customFormat="1" ht="15" customHeight="1">
      <c r="E3" s="119" t="s">
        <v>0</v>
      </c>
      <c r="F3" s="119" t="s">
        <v>1</v>
      </c>
      <c r="G3" s="119" t="s">
        <v>2</v>
      </c>
      <c r="H3" s="119" t="s">
        <v>3</v>
      </c>
      <c r="I3" s="119" t="str">
        <f>NGT_TO!I3</f>
        <v>Constant</v>
      </c>
      <c r="AT3" s="124"/>
      <c r="AU3" s="122" t="str">
        <f>NGT_TO!AU3</f>
        <v>Annual values</v>
      </c>
      <c r="BA3" s="121"/>
      <c r="BB3" s="121"/>
      <c r="BC3" s="121"/>
    </row>
    <row r="4" spans="1:58" s="119" customFormat="1" ht="15" customHeight="1">
      <c r="D4" s="121" t="s">
        <v>421</v>
      </c>
      <c r="E4" s="119" t="s">
        <v>6</v>
      </c>
      <c r="K4" s="122">
        <f>NGT_TO!K4</f>
        <v>33328</v>
      </c>
      <c r="L4" s="122">
        <f>NGT_TO!L4</f>
        <v>33694</v>
      </c>
      <c r="M4" s="122">
        <f>NGT_TO!M4</f>
        <v>34059</v>
      </c>
      <c r="N4" s="122">
        <f>NGT_TO!N4</f>
        <v>34424</v>
      </c>
      <c r="O4" s="122">
        <f>NGT_TO!O4</f>
        <v>34789</v>
      </c>
      <c r="P4" s="122">
        <f>NGT_TO!P4</f>
        <v>35155</v>
      </c>
      <c r="Q4" s="122">
        <f>NGT_TO!Q4</f>
        <v>35520</v>
      </c>
      <c r="R4" s="122">
        <f>NGT_TO!R4</f>
        <v>35885</v>
      </c>
      <c r="S4" s="122">
        <f>NGT_TO!S4</f>
        <v>36250</v>
      </c>
      <c r="T4" s="122">
        <f>NGT_TO!T4</f>
        <v>36616</v>
      </c>
      <c r="U4" s="122">
        <f>NGT_TO!U4</f>
        <v>36981</v>
      </c>
      <c r="V4" s="122">
        <f>NGT_TO!V4</f>
        <v>37346</v>
      </c>
      <c r="W4" s="122">
        <f>NGT_TO!W4</f>
        <v>37711</v>
      </c>
      <c r="X4" s="122">
        <f>NGT_TO!X4</f>
        <v>38077</v>
      </c>
      <c r="Y4" s="122">
        <f>NGT_TO!Y4</f>
        <v>38442</v>
      </c>
      <c r="Z4" s="122">
        <f>NGT_TO!Z4</f>
        <v>38807</v>
      </c>
      <c r="AA4" s="122">
        <f>NGT_TO!AA4</f>
        <v>39172</v>
      </c>
      <c r="AB4" s="122">
        <f>NGT_TO!AB4</f>
        <v>39538</v>
      </c>
      <c r="AC4" s="122">
        <f>NGT_TO!AC4</f>
        <v>39903</v>
      </c>
      <c r="AD4" s="122">
        <f>NGT_TO!AD4</f>
        <v>40268</v>
      </c>
      <c r="AE4" s="122">
        <f>NGT_TO!AE4</f>
        <v>40633</v>
      </c>
      <c r="AF4" s="122">
        <f>NGT_TO!AF4</f>
        <v>40999</v>
      </c>
      <c r="AG4" s="122">
        <f>NGT_TO!AG4</f>
        <v>41364</v>
      </c>
      <c r="AH4" s="122">
        <f>NGT_TO!AH4</f>
        <v>41729</v>
      </c>
      <c r="AI4" s="122">
        <f>NGT_TO!AI4</f>
        <v>42094</v>
      </c>
      <c r="AJ4" s="122">
        <f>NGT_TO!AJ4</f>
        <v>42460</v>
      </c>
      <c r="AK4" s="122">
        <f>NGT_TO!AK4</f>
        <v>42825</v>
      </c>
      <c r="AL4" s="122">
        <f>NGT_TO!AL4</f>
        <v>43190</v>
      </c>
      <c r="AM4" s="122">
        <f>NGT_TO!AM4</f>
        <v>43555</v>
      </c>
      <c r="AN4" s="122">
        <f>NGT_TO!AN4</f>
        <v>43921</v>
      </c>
      <c r="AO4" s="122">
        <f>NGT_TO!AO4</f>
        <v>44286</v>
      </c>
      <c r="AP4" s="122">
        <f>NGT_TO!AP4</f>
        <v>44651</v>
      </c>
      <c r="AQ4" s="122">
        <f>NGT_TO!AQ4</f>
        <v>45016</v>
      </c>
      <c r="AR4" s="122">
        <f>NGT_TO!AR4</f>
        <v>45382</v>
      </c>
      <c r="AS4" s="122">
        <f>NGT_TO!AS4</f>
        <v>45747</v>
      </c>
      <c r="AT4" s="123">
        <f>NGT_TO!AT4</f>
        <v>46112</v>
      </c>
      <c r="AU4" s="122">
        <f>NGT_TO!AU4</f>
        <v>46477</v>
      </c>
      <c r="AV4" s="122">
        <f>NGT_TO!AV4</f>
        <v>46843</v>
      </c>
      <c r="AW4" s="122">
        <f>NGT_TO!AW4</f>
        <v>47208</v>
      </c>
      <c r="AX4" s="122">
        <f>NGT_TO!AX4</f>
        <v>47573</v>
      </c>
      <c r="AY4" s="122">
        <f>NGT_TO!AY4</f>
        <v>47938</v>
      </c>
      <c r="BA4" s="127" t="s">
        <v>527</v>
      </c>
      <c r="BB4" s="127" t="s">
        <v>528</v>
      </c>
      <c r="BC4" s="127" t="s">
        <v>529</v>
      </c>
      <c r="BD4" s="127" t="s">
        <v>530</v>
      </c>
    </row>
    <row r="5" spans="1:58" ht="16">
      <c r="AP5" s="1"/>
      <c r="AQ5" s="1"/>
      <c r="AR5" s="1"/>
      <c r="AS5" s="1"/>
      <c r="AT5" s="100"/>
    </row>
    <row r="6" spans="1:58" ht="20" thickBot="1">
      <c r="A6" s="15" t="s">
        <v>400</v>
      </c>
      <c r="BA6"/>
      <c r="BB6"/>
      <c r="BF6"/>
    </row>
    <row r="7" spans="1:58" outlineLevel="1" thickTop="1">
      <c r="D7" s="1" t="str" cm="1">
        <f t="array" aca="1" ref="D7" ca="1">IFERROR(MID(_xlfn.FORMULATEXT(I7),FIND("=",_xlfn.FORMULATEXT(I7))+1,FIND("!",_xlfn.FORMULATEXT(I7))-2),MID(_xlfn.FORMULATEXT(INDEX(L7:AV7,MATCH(FALSE,ISBLANK(L7:AV7),0))),FIND("=",_xlfn.FORMULATEXT(INDEX(L7:AV7,MATCH(FALSE,ISBLANK(L7:AV7),0))))+1,FIND("!",_xlfn.FORMULATEXT(INDEX(L7:AV7,MATCH(FALSE,ISBLANK(L7:AV7),0))))-2))</f>
        <v>Transform_SO</v>
      </c>
      <c r="E7" t="s">
        <v>450</v>
      </c>
      <c r="G7" t="str">
        <f>Transform_SO!G126</f>
        <v>£m nominal</v>
      </c>
      <c r="AU7" s="95">
        <f>Transform_SO!AU126</f>
        <v>0</v>
      </c>
      <c r="AV7" s="69">
        <f>Transform_SO!AV126</f>
        <v>0</v>
      </c>
      <c r="AW7" s="69">
        <f>Transform_SO!AW126</f>
        <v>0</v>
      </c>
      <c r="AX7" s="69">
        <f>Transform_SO!AX126</f>
        <v>0</v>
      </c>
      <c r="AY7" s="69">
        <f>Transform_SO!AY126</f>
        <v>0</v>
      </c>
      <c r="BA7"/>
      <c r="BB7"/>
      <c r="BF7"/>
    </row>
    <row r="8" spans="1:58" ht="14.5" outlineLevel="1">
      <c r="D8" s="1" t="str" cm="1">
        <f t="array" aca="1" ref="D8" ca="1">IFERROR(MID(_xlfn.FORMULATEXT(I8),FIND("=",_xlfn.FORMULATEXT(I8))+1,FIND("!",_xlfn.FORMULATEXT(I8))-2),MID(_xlfn.FORMULATEXT(INDEX(L8:AV8,MATCH(FALSE,ISBLANK(L8:AV8),0))),FIND("=",_xlfn.FORMULATEXT(INDEX(L8:AV8,MATCH(FALSE,ISBLANK(L8:AV8),0))))+1,FIND("!",_xlfn.FORMULATEXT(INDEX(L8:AV8,MATCH(FALSE,ISBLANK(L8:AV8),0))))-2))</f>
        <v>Transform_SO</v>
      </c>
      <c r="E8" t="s">
        <v>456</v>
      </c>
      <c r="G8" t="str">
        <f>Transform_SO!G138</f>
        <v>annual nominal %</v>
      </c>
      <c r="AU8" s="99">
        <f>Transform_SO!AU138</f>
        <v>5.8267641724859133E-2</v>
      </c>
      <c r="AV8" s="70">
        <f>Transform_SO!AV138</f>
        <v>6.4883542303898922E-2</v>
      </c>
      <c r="AW8" s="70">
        <f>Transform_SO!AW138</f>
        <v>6.5286473689554356E-2</v>
      </c>
      <c r="AX8" s="70">
        <f>Transform_SO!AX138</f>
        <v>6.5870021424796796E-2</v>
      </c>
      <c r="AY8" s="70">
        <f>Transform_SO!AY138</f>
        <v>6.6817637737252494E-2</v>
      </c>
      <c r="BA8"/>
      <c r="BB8"/>
      <c r="BF8"/>
    </row>
    <row r="9" spans="1:58" ht="14.5" outlineLevel="1">
      <c r="D9" s="1" t="str" cm="1">
        <f t="array" aca="1" ref="D9" ca="1">IFERROR(MID(_xlfn.FORMULATEXT(I9),FIND("=",_xlfn.FORMULATEXT(I9))+1,FIND("!",_xlfn.FORMULATEXT(I9))-2),MID(_xlfn.FORMULATEXT(INDEX(L9:AV9,MATCH(FALSE,ISBLANK(L9:AV9),0))),FIND("=",_xlfn.FORMULATEXT(INDEX(L9:AV9,MATCH(FALSE,ISBLANK(L9:AV9),0))))+1,FIND("!",_xlfn.FORMULATEXT(INDEX(L9:AV9,MATCH(FALSE,ISBLANK(L9:AV9),0))))-2))</f>
        <v>Revenue_SO</v>
      </c>
      <c r="E9" t="s">
        <v>231</v>
      </c>
      <c r="G9" t="str">
        <f>Revenue_TO!G11</f>
        <v>£m 23/24 prices</v>
      </c>
      <c r="AU9" s="95">
        <f>Revenue_SO!AU11</f>
        <v>172.8008175769487</v>
      </c>
      <c r="AV9" s="69">
        <f>Revenue_SO!AV11</f>
        <v>171.436790823812</v>
      </c>
      <c r="AW9" s="69">
        <f>Revenue_SO!AW11</f>
        <v>170.06957206033059</v>
      </c>
      <c r="AX9" s="69">
        <f>Revenue_SO!AX11</f>
        <v>163.22549225435529</v>
      </c>
      <c r="AY9" s="69">
        <f>Revenue_SO!AY11</f>
        <v>158.31666606243016</v>
      </c>
      <c r="BA9"/>
      <c r="BB9"/>
      <c r="BF9"/>
    </row>
    <row r="10" spans="1:58" ht="14.5" outlineLevel="1">
      <c r="D10" s="1" t="str" cm="1">
        <f t="array" aca="1" ref="D10" ca="1">IFERROR(MID(_xlfn.FORMULATEXT(I10),FIND("=",_xlfn.FORMULATEXT(I10))+1,FIND("!",_xlfn.FORMULATEXT(I10))-2),MID(_xlfn.FORMULATEXT(INDEX(L10:AV10,MATCH(FALSE,ISBLANK(L10:AV10),0))),FIND("=",_xlfn.FORMULATEXT(INDEX(L10:AV10,MATCH(FALSE,ISBLANK(L10:AV10),0))))+1,FIND("!",_xlfn.FORMULATEXT(INDEX(L10:AV10,MATCH(FALSE,ISBLANK(L10:AV10),0))))-2))</f>
        <v>Transform_SO</v>
      </c>
      <c r="E10" t="s">
        <v>451</v>
      </c>
      <c r="G10" t="str">
        <f>Transform_SO!G127</f>
        <v>£m 23/24 prices</v>
      </c>
      <c r="AU10" s="95">
        <f>Transform_SO!AU127</f>
        <v>0</v>
      </c>
      <c r="AV10" s="69">
        <f>Transform_SO!AV127</f>
        <v>0</v>
      </c>
      <c r="AW10" s="69">
        <f>Transform_SO!AW127</f>
        <v>0</v>
      </c>
      <c r="AX10" s="69">
        <f>Transform_SO!AX127</f>
        <v>0</v>
      </c>
      <c r="AY10" s="69">
        <f>Transform_SO!AY127</f>
        <v>0</v>
      </c>
      <c r="BA10"/>
      <c r="BB10"/>
      <c r="BF10"/>
    </row>
    <row r="11" spans="1:58" ht="14.5" outlineLevel="1">
      <c r="D11" s="1" t="str" cm="1">
        <f t="array" aca="1" ref="D11" ca="1">IFERROR(MID(_xlfn.FORMULATEXT(I11),FIND("=",_xlfn.FORMULATEXT(I11))+1,FIND("!",_xlfn.FORMULATEXT(I11))-2),MID(_xlfn.FORMULATEXT(INDEX(L11:AV11,MATCH(FALSE,ISBLANK(L11:AV11),0))),FIND("=",_xlfn.FORMULATEXT(INDEX(L11:AV11,MATCH(FALSE,ISBLANK(L11:AV11),0))))+1,FIND("!",_xlfn.FORMULATEXT(INDEX(L11:AV11,MATCH(FALSE,ISBLANK(L11:AV11),0))))-2))</f>
        <v>Transform_SO</v>
      </c>
      <c r="E11" t="s">
        <v>1021</v>
      </c>
      <c r="G11" t="str">
        <f>Transform_SO!G130</f>
        <v>%</v>
      </c>
      <c r="I11" s="70">
        <f>Transform_SO!I130</f>
        <v>0.12</v>
      </c>
      <c r="BA11"/>
      <c r="BB11"/>
      <c r="BF11"/>
    </row>
    <row r="12" spans="1:58" ht="15" customHeight="1" outlineLevel="1">
      <c r="D12" s="1" t="str" cm="1">
        <f t="array" aca="1" ref="D12" ca="1">IFERROR(MID(_xlfn.FORMULATEXT(I12),FIND("=",_xlfn.FORMULATEXT(I12))+1,FIND("!",_xlfn.FORMULATEXT(I12))-2),MID(_xlfn.FORMULATEXT(INDEX(L12:AV12,MATCH(FALSE,ISBLANK(L12:AV12),0))),FIND("=",_xlfn.FORMULATEXT(INDEX(L12:AV12,MATCH(FALSE,ISBLANK(L12:AV12),0))))+1,FIND("!",_xlfn.FORMULATEXT(INDEX(L12:AV12,MATCH(FALSE,ISBLANK(L12:AV12),0))))-2))</f>
        <v>Transform_SO</v>
      </c>
      <c r="E12" t="s">
        <v>452</v>
      </c>
      <c r="G12" t="str">
        <f>Transform_SO!G132</f>
        <v>%</v>
      </c>
      <c r="I12" s="70">
        <f>Transform_SO!I132</f>
        <v>1.15E-2</v>
      </c>
      <c r="BA12"/>
      <c r="BB12"/>
      <c r="BF12"/>
    </row>
    <row r="13" spans="1:58" ht="15" customHeight="1" outlineLevel="1">
      <c r="D13" s="1" t="str" cm="1">
        <f t="array" aca="1" ref="D13" ca="1">IFERROR(MID(_xlfn.FORMULATEXT(I13),FIND("=",_xlfn.FORMULATEXT(I13))+1,FIND("!",_xlfn.FORMULATEXT(I13))-2),MID(_xlfn.FORMULATEXT(INDEX(L13:AV13,MATCH(FALSE,ISBLANK(L13:AV13),0))),FIND("=",_xlfn.FORMULATEXT(INDEX(L13:AV13,MATCH(FALSE,ISBLANK(L13:AV13),0))))+1,FIND("!",_xlfn.FORMULATEXT(INDEX(L13:AV13,MATCH(FALSE,ISBLANK(L13:AV13),0))))-2))</f>
        <v>Transform_TO</v>
      </c>
      <c r="E13" t="s">
        <v>120</v>
      </c>
      <c r="G13" t="str">
        <f>Transform_TO!G170</f>
        <v>scalar</v>
      </c>
      <c r="AU13" s="101">
        <f>Transform_TO!AU170</f>
        <v>1.0955743936244313</v>
      </c>
      <c r="AV13" s="71">
        <f>Transform_TO!AV170</f>
        <v>1.1189764907239503</v>
      </c>
      <c r="AW13" s="71">
        <f>Transform_TO!AW170</f>
        <v>1.1427183403407986</v>
      </c>
      <c r="AX13" s="71">
        <f>Transform_TO!AX170</f>
        <v>1.1667944795393224</v>
      </c>
      <c r="AY13" s="71">
        <f>Transform_TO!AY170</f>
        <v>1.191666589299726</v>
      </c>
    </row>
    <row r="14" spans="1:58" ht="14.5" outlineLevel="1">
      <c r="D14" s="1" t="str" cm="1">
        <f t="array" aca="1" ref="D14" ca="1">IFERROR(MID(_xlfn.FORMULATEXT(I14),FIND("=",_xlfn.FORMULATEXT(I14))+1,FIND("!",_xlfn.FORMULATEXT(I14))-2),MID(_xlfn.FORMULATEXT(INDEX(L14:AV14,MATCH(FALSE,ISBLANK(L14:AV14),0))),FIND("=",_xlfn.FORMULATEXT(INDEX(L14:AV14,MATCH(FALSE,ISBLANK(L14:AV14),0))))+1,FIND("!",_xlfn.FORMULATEXT(INDEX(L14:AV14,MATCH(FALSE,ISBLANK(L14:AV14),0))))-2))</f>
        <v>Transform_SO</v>
      </c>
      <c r="E14" t="s">
        <v>454</v>
      </c>
      <c r="G14" t="str">
        <f>Transform_SO!G131</f>
        <v>scalar</v>
      </c>
      <c r="AV14" s="69">
        <f>Transform_SO!AV131</f>
        <v>1</v>
      </c>
      <c r="AW14" s="69">
        <f>Transform_SO!AW131</f>
        <v>1</v>
      </c>
      <c r="AX14" s="69">
        <f>Transform_SO!AX131</f>
        <v>1</v>
      </c>
      <c r="AY14" s="69">
        <f>Transform_SO!AY131</f>
        <v>1</v>
      </c>
      <c r="BA14"/>
      <c r="BB14"/>
      <c r="BF14"/>
    </row>
    <row r="15" spans="1:58" ht="15" customHeight="1" outlineLevel="1">
      <c r="D15" s="1" t="str" cm="1">
        <f t="array" aca="1" ref="D15" ca="1">IFERROR(MID(_xlfn.FORMULATEXT(I15),FIND("=",_xlfn.FORMULATEXT(I15))+1,FIND("!",_xlfn.FORMULATEXT(I15))-2),MID(_xlfn.FORMULATEXT(INDEX(L15:AV15,MATCH(FALSE,ISBLANK(L15:AV15),0))),FIND("=",_xlfn.FORMULATEXT(INDEX(L15:AV15,MATCH(FALSE,ISBLANK(L15:AV15),0))))+1,FIND("!",_xlfn.FORMULATEXT(INDEX(L15:AV15,MATCH(FALSE,ISBLANK(L15:AV15),0))))-2))</f>
        <v>Transform_SO</v>
      </c>
      <c r="E15" t="s">
        <v>547</v>
      </c>
      <c r="G15" t="str">
        <f>nominal</f>
        <v>£m nominal</v>
      </c>
      <c r="AU15" s="95">
        <f>Transform_SO!AU128</f>
        <v>0</v>
      </c>
      <c r="AV15" s="69">
        <f>Transform_SO!AV128</f>
        <v>0</v>
      </c>
      <c r="AW15" s="69">
        <f>Transform_SO!AW128</f>
        <v>0</v>
      </c>
      <c r="AX15" s="69">
        <f>Transform_SO!AX128</f>
        <v>0</v>
      </c>
      <c r="AY15" s="69">
        <f>Transform_SO!AY128</f>
        <v>0</v>
      </c>
    </row>
    <row r="16" spans="1:58" ht="15" customHeight="1" outlineLevel="1">
      <c r="D16" s="1" t="str" cm="1">
        <f t="array" aca="1" ref="D16" ca="1">IFERROR(MID(_xlfn.FORMULATEXT(I16),FIND("=",_xlfn.FORMULATEXT(I16))+1,FIND("!",_xlfn.FORMULATEXT(I16))-2),MID(_xlfn.FORMULATEXT(INDEX(L16:AV16,MATCH(FALSE,ISBLANK(L16:AV16),0))),FIND("=",_xlfn.FORMULATEXT(INDEX(L16:AV16,MATCH(FALSE,ISBLANK(L16:AV16),0))))+1,FIND("!",_xlfn.FORMULATEXT(INDEX(L16:AV16,MATCH(FALSE,ISBLANK(L16:AV16),0))))-2))</f>
        <v>Transform_SO</v>
      </c>
      <c r="E16" t="s">
        <v>1022</v>
      </c>
      <c r="G16" t="s">
        <v>33</v>
      </c>
      <c r="I16" s="70">
        <f>Transform_SO!I133</f>
        <v>0.06</v>
      </c>
      <c r="BA16"/>
      <c r="BB16"/>
      <c r="BC16"/>
      <c r="BF16"/>
    </row>
    <row r="17" spans="1:58" ht="15" customHeight="1" outlineLevel="1">
      <c r="D17" s="1" t="str" cm="1">
        <f t="array" aca="1" ref="D17" ca="1">IFERROR(MID(_xlfn.FORMULATEXT(I17),FIND("=",_xlfn.FORMULATEXT(I17))+1,FIND("!",_xlfn.FORMULATEXT(I17))-2),MID(_xlfn.FORMULATEXT(INDEX(L17:AV17,MATCH(FALSE,ISBLANK(L17:AV17),0))),FIND("=",_xlfn.FORMULATEXT(INDEX(L17:AV17,MATCH(FALSE,ISBLANK(L17:AV17),0))))+1,FIND("!",_xlfn.FORMULATEXT(INDEX(L17:AV17,MATCH(FALSE,ISBLANK(L17:AV17),0))))-2))</f>
        <v>Transform_SO</v>
      </c>
      <c r="E17" t="s">
        <v>453</v>
      </c>
      <c r="G17" t="str">
        <f>Transform_SO!G135</f>
        <v>%</v>
      </c>
      <c r="I17" s="70">
        <f>Transform_SO!I135</f>
        <v>1.15E-2</v>
      </c>
    </row>
    <row r="18" spans="1:58" ht="15" customHeight="1" outlineLevel="1">
      <c r="D18" s="1" t="str" cm="1">
        <f t="array" aca="1" ref="D18" ca="1">IFERROR(MID(_xlfn.FORMULATEXT(I18),FIND("=",_xlfn.FORMULATEXT(I18))+1,FIND("!",_xlfn.FORMULATEXT(I18))-2),MID(_xlfn.FORMULATEXT(INDEX(L18:AV18,MATCH(FALSE,ISBLANK(L18:AV18),0))),FIND("=",_xlfn.FORMULATEXT(INDEX(L18:AV18,MATCH(FALSE,ISBLANK(L18:AV18),0))))+1,FIND("!",_xlfn.FORMULATEXT(INDEX(L18:AV18,MATCH(FALSE,ISBLANK(L18:AV18),0))))-2))</f>
        <v>Transform_SO</v>
      </c>
      <c r="E18" t="s">
        <v>455</v>
      </c>
      <c r="G18" t="str">
        <f>Transform_SO!G134</f>
        <v>scalar</v>
      </c>
      <c r="AV18" s="69">
        <f>Transform_SO!AV134</f>
        <v>1</v>
      </c>
      <c r="AW18" s="69">
        <f>Transform_SO!AW134</f>
        <v>1</v>
      </c>
      <c r="AX18" s="69">
        <f>Transform_SO!AX134</f>
        <v>1</v>
      </c>
      <c r="AY18" s="69">
        <f>Transform_SO!AY134</f>
        <v>1</v>
      </c>
      <c r="BA18"/>
      <c r="BB18"/>
      <c r="BF18"/>
    </row>
    <row r="19" spans="1:58" ht="14.5" outlineLevel="1">
      <c r="D19" s="1" t="str" cm="1">
        <f t="array" aca="1" ref="D19" ca="1">IFERROR(MID(_xlfn.FORMULATEXT(I19),FIND("=",_xlfn.FORMULATEXT(I19))+1,FIND("!",_xlfn.FORMULATEXT(I19))-2),MID(_xlfn.FORMULATEXT(INDEX(L19:AV19,MATCH(FALSE,ISBLANK(L19:AV19),0))),FIND("=",_xlfn.FORMULATEXT(INDEX(L19:AV19,MATCH(FALSE,ISBLANK(L19:AV19),0))))+1,FIND("!",_xlfn.FORMULATEXT(INDEX(L19:AV19,MATCH(FALSE,ISBLANK(L19:AV19),0))))-2))</f>
        <v>Revenue_SO</v>
      </c>
      <c r="E19" t="s">
        <v>233</v>
      </c>
      <c r="G19" t="str">
        <f>Revenue_TO!G22</f>
        <v>£m 23/24 prices</v>
      </c>
      <c r="AU19" s="95">
        <f ca="1">Revenue_SO!AU16</f>
        <v>338.255308546903</v>
      </c>
      <c r="AV19" s="69">
        <f ca="1">Revenue_SO!AV16</f>
        <v>302.03701205327337</v>
      </c>
      <c r="AW19" s="69">
        <f ca="1">Revenue_SO!AW16</f>
        <v>283.40145069303719</v>
      </c>
      <c r="AX19" s="69">
        <f ca="1">Revenue_SO!AX16</f>
        <v>273.20609094061382</v>
      </c>
      <c r="AY19" s="69">
        <f ca="1">Revenue_SO!AY16</f>
        <v>265.98857299308446</v>
      </c>
      <c r="BA19"/>
      <c r="BB19"/>
      <c r="BF19"/>
    </row>
    <row r="20" spans="1:58" ht="14.5" outlineLevel="1">
      <c r="D20" s="1" t="str" cm="1">
        <f t="array" aca="1" ref="D20" ca="1">IFERROR(MID(_xlfn.FORMULATEXT(I20),FIND("=",_xlfn.FORMULATEXT(I20))+1,FIND("!",_xlfn.FORMULATEXT(I20))-2),MID(_xlfn.FORMULATEXT(INDEX(L20:AV20,MATCH(FALSE,ISBLANK(L20:AV20),0))),FIND("=",_xlfn.FORMULATEXT(INDEX(L20:AV20,MATCH(FALSE,ISBLANK(L20:AV20),0))))+1,FIND("!",_xlfn.FORMULATEXT(INDEX(L20:AV20,MATCH(FALSE,ISBLANK(L20:AV20),0))))-2))</f>
        <v>Transform_SO</v>
      </c>
      <c r="E20" t="s">
        <v>823</v>
      </c>
      <c r="G20" t="str">
        <f>Transform_SO!G149</f>
        <v>£m nominal</v>
      </c>
      <c r="AU20" s="95">
        <f>Transform_SO!AU149</f>
        <v>-27.681067108085355</v>
      </c>
      <c r="AV20" s="69">
        <f>Transform_SO!AV149</f>
        <v>0</v>
      </c>
      <c r="AW20" s="69">
        <f>Transform_SO!AW149</f>
        <v>0</v>
      </c>
      <c r="AX20" s="69">
        <f>Transform_SO!AX149</f>
        <v>0</v>
      </c>
      <c r="AY20" s="69">
        <f>Transform_SO!AY149</f>
        <v>0</v>
      </c>
      <c r="BA20"/>
      <c r="BB20"/>
      <c r="BF20"/>
    </row>
    <row r="21" spans="1:58" ht="15" customHeight="1"/>
    <row r="22" spans="1:58" ht="15" customHeight="1" thickBot="1">
      <c r="A22" s="15" t="s">
        <v>458</v>
      </c>
    </row>
    <row r="23" spans="1:58" ht="15" customHeight="1" thickTop="1">
      <c r="E23" t="s">
        <v>548</v>
      </c>
      <c r="F23" t="s">
        <v>70</v>
      </c>
      <c r="G23" t="str">
        <f>nominal</f>
        <v>£m nominal</v>
      </c>
      <c r="H23" t="s">
        <v>971</v>
      </c>
      <c r="AU23" s="96">
        <f ca="1">AU62</f>
        <v>342.90278744343283</v>
      </c>
      <c r="AV23" s="61">
        <f t="shared" ref="AV23:AY23" ca="1" si="0">AV62</f>
        <v>337.97231581611931</v>
      </c>
      <c r="AW23" s="61">
        <f t="shared" ca="1" si="0"/>
        <v>323.84803538612209</v>
      </c>
      <c r="AX23" s="61">
        <f t="shared" ca="1" si="0"/>
        <v>318.77535868602627</v>
      </c>
      <c r="AY23" s="61">
        <f t="shared" ca="1" si="0"/>
        <v>316.96969557137015</v>
      </c>
      <c r="BA23" s="116" t="str">
        <f ca="1">$A$1</f>
        <v>AllowedRevenue_SO</v>
      </c>
      <c r="BB23" s="1" t="str">
        <f>$A$22</f>
        <v>Correction term</v>
      </c>
    </row>
    <row r="24" spans="1:58" ht="15" customHeight="1">
      <c r="BA24"/>
      <c r="BB24"/>
      <c r="BF24"/>
    </row>
    <row r="25" spans="1:58" ht="15" customHeight="1">
      <c r="E25" t="s">
        <v>450</v>
      </c>
      <c r="G25" t="str">
        <f>nominal</f>
        <v>£m nominal</v>
      </c>
      <c r="AU25" s="97">
        <f>AU7</f>
        <v>0</v>
      </c>
      <c r="AV25" s="38">
        <f>AV7</f>
        <v>0</v>
      </c>
      <c r="AW25" s="38">
        <f>AW7</f>
        <v>0</v>
      </c>
      <c r="AX25" s="38">
        <f>AX7</f>
        <v>0</v>
      </c>
      <c r="AY25" s="38">
        <f>AY7</f>
        <v>0</v>
      </c>
      <c r="BA25" s="116" t="str">
        <f ca="1">$A$1</f>
        <v>AllowedRevenue_SO</v>
      </c>
      <c r="BB25" s="1" t="str">
        <f>$A$22</f>
        <v>Correction term</v>
      </c>
    </row>
    <row r="26" spans="1:58" ht="15" customHeight="1">
      <c r="E26" t="s">
        <v>549</v>
      </c>
      <c r="G26" t="str">
        <f>nominal</f>
        <v>£m nominal</v>
      </c>
      <c r="AU26" s="96">
        <f t="shared" ref="AU26:AY26" ca="1" si="1">IF(AU25=0,AU23,0)</f>
        <v>342.90278744343283</v>
      </c>
      <c r="AV26" s="61">
        <f t="shared" ca="1" si="1"/>
        <v>337.97231581611931</v>
      </c>
      <c r="AW26" s="61">
        <f t="shared" ca="1" si="1"/>
        <v>323.84803538612209</v>
      </c>
      <c r="AX26" s="61">
        <f t="shared" ca="1" si="1"/>
        <v>318.77535868602627</v>
      </c>
      <c r="AY26" s="61">
        <f t="shared" ca="1" si="1"/>
        <v>316.96969557137015</v>
      </c>
      <c r="BA26" s="116" t="str">
        <f ca="1">$A$1</f>
        <v>AllowedRevenue_SO</v>
      </c>
      <c r="BB26" s="1" t="str">
        <f>$A$22</f>
        <v>Correction term</v>
      </c>
    </row>
    <row r="27" spans="1:58" ht="15" customHeight="1">
      <c r="E27" t="s">
        <v>450</v>
      </c>
      <c r="F27" t="s">
        <v>70</v>
      </c>
      <c r="G27" t="str">
        <f>nominal</f>
        <v>£m nominal</v>
      </c>
      <c r="H27" t="s">
        <v>930</v>
      </c>
      <c r="AU27" s="96">
        <f t="shared" ref="AU27:AY27" ca="1" si="2">SUM(AU25:AU26)</f>
        <v>342.90278744343283</v>
      </c>
      <c r="AV27" s="61">
        <f t="shared" ca="1" si="2"/>
        <v>337.97231581611931</v>
      </c>
      <c r="AW27" s="61">
        <f t="shared" ca="1" si="2"/>
        <v>323.84803538612209</v>
      </c>
      <c r="AX27" s="61">
        <f t="shared" ca="1" si="2"/>
        <v>318.77535868602627</v>
      </c>
      <c r="AY27" s="61">
        <f t="shared" ca="1" si="2"/>
        <v>316.96969557137015</v>
      </c>
      <c r="BA27" s="116" t="str">
        <f ca="1">$A$1</f>
        <v>AllowedRevenue_SO</v>
      </c>
      <c r="BB27" s="1" t="str">
        <f>$A$22</f>
        <v>Correction term</v>
      </c>
    </row>
    <row r="28" spans="1:58" ht="15" customHeight="1">
      <c r="E28" t="s">
        <v>550</v>
      </c>
      <c r="G28" t="str">
        <f>nominal</f>
        <v>£m nominal</v>
      </c>
      <c r="AU28" s="96">
        <f t="shared" ref="AU28:AY28" ca="1" si="3">AU23-AU27</f>
        <v>0</v>
      </c>
      <c r="AV28" s="61">
        <f t="shared" ca="1" si="3"/>
        <v>0</v>
      </c>
      <c r="AW28" s="61">
        <f t="shared" ca="1" si="3"/>
        <v>0</v>
      </c>
      <c r="AX28" s="61">
        <f t="shared" ca="1" si="3"/>
        <v>0</v>
      </c>
      <c r="AY28" s="61">
        <f t="shared" ca="1" si="3"/>
        <v>0</v>
      </c>
      <c r="BA28" s="116" t="str">
        <f ca="1">$A$1</f>
        <v>AllowedRevenue_SO</v>
      </c>
      <c r="BB28" s="1" t="str">
        <f>$A$22</f>
        <v>Correction term</v>
      </c>
      <c r="BF28"/>
    </row>
    <row r="29" spans="1:58" ht="15" customHeight="1">
      <c r="BA29"/>
      <c r="BB29"/>
      <c r="BF29"/>
    </row>
    <row r="30" spans="1:58" ht="15" customHeight="1">
      <c r="E30" t="s">
        <v>458</v>
      </c>
      <c r="F30" t="s">
        <v>70</v>
      </c>
      <c r="G30" t="str">
        <f>nominal</f>
        <v>£m nominal</v>
      </c>
      <c r="H30" t="s">
        <v>972</v>
      </c>
      <c r="AV30" s="61">
        <f ca="1">AU28*(1+AU8)</f>
        <v>0</v>
      </c>
      <c r="AW30" s="61">
        <f ca="1">AV28*(1+AV8)</f>
        <v>0</v>
      </c>
      <c r="AX30" s="61">
        <f ca="1">AW28*(1+AW8)</f>
        <v>0</v>
      </c>
      <c r="AY30" s="61">
        <f ca="1">AX28*(1+AX8)</f>
        <v>0</v>
      </c>
      <c r="BA30" s="116" t="str">
        <f ca="1">$A$1</f>
        <v>AllowedRevenue_SO</v>
      </c>
      <c r="BB30" s="1" t="str">
        <f>$A$22</f>
        <v>Correction term</v>
      </c>
    </row>
    <row r="31" spans="1:58" ht="15" customHeight="1"/>
    <row r="32" spans="1:58" ht="15" customHeight="1" thickBot="1">
      <c r="A32" s="15" t="s">
        <v>459</v>
      </c>
    </row>
    <row r="33" spans="2:58" ht="15" customHeight="1" thickTop="1" thickBot="1">
      <c r="B33" s="17" t="s">
        <v>460</v>
      </c>
      <c r="BA33"/>
      <c r="BB33"/>
      <c r="BF33"/>
    </row>
    <row r="34" spans="2:58" ht="15" customHeight="1" thickTop="1">
      <c r="E34" t="s">
        <v>630</v>
      </c>
      <c r="F34" t="s">
        <v>70</v>
      </c>
      <c r="G34" t="str">
        <f>price_label</f>
        <v>£m 23/24 prices</v>
      </c>
      <c r="H34" t="s">
        <v>973</v>
      </c>
      <c r="AU34" s="96">
        <f>AU9</f>
        <v>172.8008175769487</v>
      </c>
      <c r="AV34" s="61">
        <f t="shared" ref="AV34:AY34" si="4">AV9</f>
        <v>171.436790823812</v>
      </c>
      <c r="AW34" s="61">
        <f t="shared" si="4"/>
        <v>170.06957206033059</v>
      </c>
      <c r="AX34" s="61">
        <f t="shared" si="4"/>
        <v>163.22549225435529</v>
      </c>
      <c r="AY34" s="61">
        <f t="shared" si="4"/>
        <v>158.31666606243016</v>
      </c>
      <c r="BA34" s="116" t="str">
        <f ca="1">$A$1</f>
        <v>AllowedRevenue_SO</v>
      </c>
      <c r="BB34" s="1" t="str">
        <f>$A$32</f>
        <v>Forecasting penalty</v>
      </c>
      <c r="BC34" s="1" t="str">
        <f>$B$33</f>
        <v>Base Revenue</v>
      </c>
    </row>
    <row r="35" spans="2:58" ht="15" customHeight="1">
      <c r="BA35"/>
      <c r="BB35"/>
      <c r="BF35"/>
    </row>
    <row r="36" spans="2:58" ht="15" customHeight="1">
      <c r="E36" t="s">
        <v>631</v>
      </c>
      <c r="G36" t="str">
        <f>price_label</f>
        <v>£m 23/24 prices</v>
      </c>
      <c r="AU36" s="96">
        <f t="shared" ref="AU36:AY36" si="5">AU10</f>
        <v>0</v>
      </c>
      <c r="AV36" s="61">
        <f t="shared" si="5"/>
        <v>0</v>
      </c>
      <c r="AW36" s="61">
        <f t="shared" si="5"/>
        <v>0</v>
      </c>
      <c r="AX36" s="61">
        <f t="shared" si="5"/>
        <v>0</v>
      </c>
      <c r="AY36" s="61">
        <f t="shared" si="5"/>
        <v>0</v>
      </c>
      <c r="BA36" s="116" t="str">
        <f ca="1">$A$1</f>
        <v>AllowedRevenue_SO</v>
      </c>
      <c r="BB36" s="1" t="str">
        <f>$A$32</f>
        <v>Forecasting penalty</v>
      </c>
      <c r="BC36" s="1" t="str">
        <f>$B$33</f>
        <v>Base Revenue</v>
      </c>
    </row>
    <row r="37" spans="2:58" ht="15" customHeight="1">
      <c r="E37" t="s">
        <v>632</v>
      </c>
      <c r="G37" t="str">
        <f>price_label</f>
        <v>£m 23/24 prices</v>
      </c>
      <c r="AU37" s="96">
        <f t="shared" ref="AU37:AY37" si="6">IF(AU36=0,AU34,0)</f>
        <v>172.8008175769487</v>
      </c>
      <c r="AV37" s="61">
        <f t="shared" si="6"/>
        <v>171.436790823812</v>
      </c>
      <c r="AW37" s="61">
        <f t="shared" si="6"/>
        <v>170.06957206033059</v>
      </c>
      <c r="AX37" s="61">
        <f t="shared" si="6"/>
        <v>163.22549225435529</v>
      </c>
      <c r="AY37" s="61">
        <f t="shared" si="6"/>
        <v>158.31666606243016</v>
      </c>
      <c r="BA37" s="116" t="str">
        <f ca="1">$A$1</f>
        <v>AllowedRevenue_SO</v>
      </c>
      <c r="BB37" s="1" t="str">
        <f>$A$32</f>
        <v>Forecasting penalty</v>
      </c>
      <c r="BC37" s="1" t="str">
        <f>$B$33</f>
        <v>Base Revenue</v>
      </c>
    </row>
    <row r="38" spans="2:58" ht="15" customHeight="1">
      <c r="E38" t="s">
        <v>451</v>
      </c>
      <c r="F38" t="s">
        <v>70</v>
      </c>
      <c r="G38" t="str">
        <f>price_label</f>
        <v>£m 23/24 prices</v>
      </c>
      <c r="H38" t="s">
        <v>931</v>
      </c>
      <c r="AU38" s="96">
        <f t="shared" ref="AU38:AY38" si="7">SUM(AU36:AU37)</f>
        <v>172.8008175769487</v>
      </c>
      <c r="AV38" s="61">
        <f t="shared" si="7"/>
        <v>171.436790823812</v>
      </c>
      <c r="AW38" s="61">
        <f t="shared" si="7"/>
        <v>170.06957206033059</v>
      </c>
      <c r="AX38" s="61">
        <f t="shared" si="7"/>
        <v>163.22549225435529</v>
      </c>
      <c r="AY38" s="61">
        <f t="shared" si="7"/>
        <v>158.31666606243016</v>
      </c>
      <c r="BA38" s="116" t="str">
        <f ca="1">$A$1</f>
        <v>AllowedRevenue_SO</v>
      </c>
      <c r="BB38" s="1" t="str">
        <f>$A$32</f>
        <v>Forecasting penalty</v>
      </c>
      <c r="BC38" s="1" t="str">
        <f>$B$33</f>
        <v>Base Revenue</v>
      </c>
    </row>
    <row r="39" spans="2:58" ht="15" customHeight="1">
      <c r="E39" t="s">
        <v>633</v>
      </c>
      <c r="G39" t="str">
        <f>price_label</f>
        <v>£m 23/24 prices</v>
      </c>
      <c r="AU39" s="96">
        <f t="shared" ref="AU39:AY39" si="8">AU34-AU38</f>
        <v>0</v>
      </c>
      <c r="AV39" s="61">
        <f t="shared" si="8"/>
        <v>0</v>
      </c>
      <c r="AW39" s="61">
        <f t="shared" si="8"/>
        <v>0</v>
      </c>
      <c r="AX39" s="61">
        <f t="shared" si="8"/>
        <v>0</v>
      </c>
      <c r="AY39" s="61">
        <f t="shared" si="8"/>
        <v>0</v>
      </c>
      <c r="BA39" s="116" t="str">
        <f ca="1">$A$1</f>
        <v>AllowedRevenue_SO</v>
      </c>
      <c r="BB39" s="1" t="str">
        <f>$A$32</f>
        <v>Forecasting penalty</v>
      </c>
      <c r="BC39" s="1" t="str">
        <f>$B$33</f>
        <v>Base Revenue</v>
      </c>
    </row>
    <row r="40" spans="2:58" ht="15" customHeight="1"/>
    <row r="41" spans="2:58" ht="15" customHeight="1">
      <c r="E41" t="s">
        <v>634</v>
      </c>
      <c r="G41" t="s">
        <v>21</v>
      </c>
      <c r="AU41" s="96">
        <f t="shared" ref="AU41:AY41" si="9">IFERROR(AU38/AU34,0)</f>
        <v>1</v>
      </c>
      <c r="AV41" s="61">
        <f t="shared" si="9"/>
        <v>1</v>
      </c>
      <c r="AW41" s="61">
        <f t="shared" si="9"/>
        <v>1</v>
      </c>
      <c r="AX41" s="61">
        <f t="shared" si="9"/>
        <v>1</v>
      </c>
      <c r="AY41" s="61">
        <f t="shared" si="9"/>
        <v>1</v>
      </c>
      <c r="BA41" s="116" t="str">
        <f t="shared" ref="BA41:BA43" ca="1" si="10">$A$1</f>
        <v>AllowedRevenue_SO</v>
      </c>
      <c r="BB41" s="1" t="str">
        <f t="shared" ref="BB41:BB43" si="11">$A$32</f>
        <v>Forecasting penalty</v>
      </c>
      <c r="BC41" s="1" t="str">
        <f t="shared" ref="BC41:BC43" si="12">$B$33</f>
        <v>Base Revenue</v>
      </c>
    </row>
    <row r="42" spans="2:58" ht="15" customHeight="1">
      <c r="E42" t="s">
        <v>635</v>
      </c>
      <c r="G42" t="s">
        <v>33</v>
      </c>
      <c r="AU42" s="144">
        <f>(IF(AU41&gt;=1+$I$11,1,0)+IF(AU41&lt;=1-$I$11,-1,0))*$I$12</f>
        <v>0</v>
      </c>
      <c r="AV42" s="62">
        <f>(IF(AV41&gt;=1+$I$11,1,0)+IF(AV41&lt;=1-$I$11,-1,0))*$I$12</f>
        <v>0</v>
      </c>
      <c r="AW42" s="62">
        <f>(IF(AW41&gt;=1+$I$11,1,0)+IF(AW41&lt;=1-$I$11,-1,0))*$I$12</f>
        <v>0</v>
      </c>
      <c r="AX42" s="62">
        <f>(IF(AX41&gt;=1+$I$11,1,0)+IF(AX41&lt;=1-$I$11,-1,0))*$I$12</f>
        <v>0</v>
      </c>
      <c r="AY42" s="62">
        <f>(IF(AY41&gt;=1+$I$11,1,0)+IF(AY41&lt;=1-$I$11,-1,0))*$I$12</f>
        <v>0</v>
      </c>
      <c r="BA42" s="116" t="str">
        <f t="shared" ca="1" si="10"/>
        <v>AllowedRevenue_SO</v>
      </c>
      <c r="BB42" s="1" t="str">
        <f t="shared" si="11"/>
        <v>Forecasting penalty</v>
      </c>
      <c r="BC42" s="1" t="str">
        <f t="shared" si="12"/>
        <v>Base Revenue</v>
      </c>
    </row>
    <row r="43" spans="2:58" ht="15" customHeight="1">
      <c r="E43" t="s">
        <v>636</v>
      </c>
      <c r="F43" t="s">
        <v>70</v>
      </c>
      <c r="G43" t="str">
        <f>nominal</f>
        <v>£m nominal</v>
      </c>
      <c r="H43" t="s">
        <v>974</v>
      </c>
      <c r="AW43" s="61">
        <f>AV39*AV13*AV14*AV42</f>
        <v>0</v>
      </c>
      <c r="AX43" s="61">
        <f>AW39*AW13*AW14*AW42</f>
        <v>0</v>
      </c>
      <c r="AY43" s="61">
        <f>AX39*AX13*AX14*AX42</f>
        <v>0</v>
      </c>
      <c r="BA43" s="116" t="str">
        <f t="shared" ca="1" si="10"/>
        <v>AllowedRevenue_SO</v>
      </c>
      <c r="BB43" s="1" t="str">
        <f t="shared" si="11"/>
        <v>Forecasting penalty</v>
      </c>
      <c r="BC43" s="1" t="str">
        <f t="shared" si="12"/>
        <v>Base Revenue</v>
      </c>
    </row>
    <row r="44" spans="2:58" ht="15" customHeight="1"/>
    <row r="45" spans="2:58" ht="15" customHeight="1" thickBot="1">
      <c r="B45" s="17" t="s">
        <v>450</v>
      </c>
    </row>
    <row r="46" spans="2:58" ht="15" customHeight="1" thickTop="1">
      <c r="E46" t="s">
        <v>637</v>
      </c>
      <c r="G46" t="str">
        <f>nominal</f>
        <v>£m nominal</v>
      </c>
      <c r="AU46" s="96">
        <f t="shared" ref="AU46:AY46" si="13">AU15</f>
        <v>0</v>
      </c>
      <c r="AV46" s="61">
        <f t="shared" si="13"/>
        <v>0</v>
      </c>
      <c r="AW46" s="61">
        <f t="shared" si="13"/>
        <v>0</v>
      </c>
      <c r="AX46" s="61">
        <f t="shared" si="13"/>
        <v>0</v>
      </c>
      <c r="AY46" s="61">
        <f t="shared" si="13"/>
        <v>0</v>
      </c>
      <c r="BA46" s="116" t="str">
        <f ca="1">$A$1</f>
        <v>AllowedRevenue_SO</v>
      </c>
      <c r="BB46" s="1" t="str">
        <f>$A$32</f>
        <v>Forecasting penalty</v>
      </c>
      <c r="BC46" s="1" t="str">
        <f>$B$45</f>
        <v>Recovered Revenue</v>
      </c>
    </row>
    <row r="47" spans="2:58" ht="15" customHeight="1">
      <c r="E47" t="s">
        <v>552</v>
      </c>
      <c r="G47" t="str">
        <f>nominal</f>
        <v>£m nominal</v>
      </c>
      <c r="AU47" s="96">
        <f t="shared" ref="AU47:AY47" ca="1" si="14">IF(AU46=0,AU23,0)</f>
        <v>342.90278744343283</v>
      </c>
      <c r="AV47" s="61">
        <f t="shared" ca="1" si="14"/>
        <v>337.97231581611931</v>
      </c>
      <c r="AW47" s="61">
        <f t="shared" ca="1" si="14"/>
        <v>323.84803538612209</v>
      </c>
      <c r="AX47" s="61">
        <f t="shared" ca="1" si="14"/>
        <v>318.77535868602627</v>
      </c>
      <c r="AY47" s="61">
        <f t="shared" ca="1" si="14"/>
        <v>316.96969557137015</v>
      </c>
      <c r="BA47" s="116" t="str">
        <f ca="1">$A$1</f>
        <v>AllowedRevenue_SO</v>
      </c>
      <c r="BB47" s="1" t="str">
        <f>$A$32</f>
        <v>Forecasting penalty</v>
      </c>
      <c r="BC47" s="1" t="str">
        <f>$B$45</f>
        <v>Recovered Revenue</v>
      </c>
    </row>
    <row r="48" spans="2:58" ht="15" customHeight="1">
      <c r="E48" t="s">
        <v>532</v>
      </c>
      <c r="F48" t="s">
        <v>70</v>
      </c>
      <c r="G48" t="str">
        <f>nominal</f>
        <v>£m nominal</v>
      </c>
      <c r="H48" t="s">
        <v>975</v>
      </c>
      <c r="AU48" s="96">
        <f t="shared" ref="AU48:AY48" ca="1" si="15">SUM(AU46:AU47)</f>
        <v>342.90278744343283</v>
      </c>
      <c r="AV48" s="61">
        <f t="shared" ca="1" si="15"/>
        <v>337.97231581611931</v>
      </c>
      <c r="AW48" s="61">
        <f t="shared" ca="1" si="15"/>
        <v>323.84803538612209</v>
      </c>
      <c r="AX48" s="61">
        <f t="shared" ca="1" si="15"/>
        <v>318.77535868602627</v>
      </c>
      <c r="AY48" s="61">
        <f t="shared" ca="1" si="15"/>
        <v>316.96969557137015</v>
      </c>
      <c r="BA48" s="116" t="str">
        <f ca="1">$A$1</f>
        <v>AllowedRevenue_SO</v>
      </c>
      <c r="BB48" s="1" t="str">
        <f>$A$32</f>
        <v>Forecasting penalty</v>
      </c>
      <c r="BC48" s="1" t="str">
        <f>$B$45</f>
        <v>Recovered Revenue</v>
      </c>
    </row>
    <row r="49" spans="1:55" ht="15" customHeight="1">
      <c r="E49" t="s">
        <v>551</v>
      </c>
      <c r="G49" t="str">
        <f>nominal</f>
        <v>£m nominal</v>
      </c>
      <c r="AU49" s="96">
        <f t="shared" ref="AU49:AY49" ca="1" si="16">AU27-AU48</f>
        <v>0</v>
      </c>
      <c r="AV49" s="61">
        <f t="shared" ca="1" si="16"/>
        <v>0</v>
      </c>
      <c r="AW49" s="61">
        <f t="shared" ca="1" si="16"/>
        <v>0</v>
      </c>
      <c r="AX49" s="61">
        <f t="shared" ca="1" si="16"/>
        <v>0</v>
      </c>
      <c r="AY49" s="61">
        <f t="shared" ca="1" si="16"/>
        <v>0</v>
      </c>
      <c r="BA49" s="116" t="str">
        <f ca="1">$A$1</f>
        <v>AllowedRevenue_SO</v>
      </c>
      <c r="BB49" s="1" t="str">
        <f>$A$32</f>
        <v>Forecasting penalty</v>
      </c>
      <c r="BC49" s="1" t="str">
        <f>$B$45</f>
        <v>Recovered Revenue</v>
      </c>
    </row>
    <row r="50" spans="1:55" ht="15" customHeight="1"/>
    <row r="51" spans="1:55" ht="15" customHeight="1">
      <c r="E51" t="s">
        <v>638</v>
      </c>
      <c r="G51" t="s">
        <v>21</v>
      </c>
      <c r="AU51" s="96">
        <f t="shared" ref="AU51:AY51" ca="1" si="17">IFERROR(AU48/AU27,0)</f>
        <v>1</v>
      </c>
      <c r="AV51" s="61">
        <f t="shared" ca="1" si="17"/>
        <v>1</v>
      </c>
      <c r="AW51" s="61">
        <f t="shared" ca="1" si="17"/>
        <v>1</v>
      </c>
      <c r="AX51" s="61">
        <f t="shared" ca="1" si="17"/>
        <v>1</v>
      </c>
      <c r="AY51" s="61">
        <f t="shared" ca="1" si="17"/>
        <v>1</v>
      </c>
      <c r="BA51" s="116" t="str">
        <f t="shared" ref="BA51:BA53" ca="1" si="18">$A$1</f>
        <v>AllowedRevenue_SO</v>
      </c>
      <c r="BB51" s="1" t="str">
        <f t="shared" ref="BB51:BB53" si="19">$A$32</f>
        <v>Forecasting penalty</v>
      </c>
      <c r="BC51" s="1" t="str">
        <f t="shared" ref="BC51:BC53" si="20">$B$45</f>
        <v>Recovered Revenue</v>
      </c>
    </row>
    <row r="52" spans="1:55" ht="15" customHeight="1">
      <c r="E52" t="s">
        <v>639</v>
      </c>
      <c r="G52" t="s">
        <v>33</v>
      </c>
      <c r="AU52" s="144">
        <f ca="1">(IF(AU51&gt;=1+$I$16,1,0)+IF(AU51&lt;=1-$I$16,-1,0))*$I$17</f>
        <v>0</v>
      </c>
      <c r="AV52" s="62">
        <f t="shared" ref="AV52:AY52" ca="1" si="21">(IF(AV51&gt;=1+$I$16,1,0)+IF(AV51&lt;=1-$I$16,-1,0))*$I$17</f>
        <v>0</v>
      </c>
      <c r="AW52" s="62">
        <f t="shared" ca="1" si="21"/>
        <v>0</v>
      </c>
      <c r="AX52" s="62">
        <f t="shared" ca="1" si="21"/>
        <v>0</v>
      </c>
      <c r="AY52" s="62">
        <f t="shared" ca="1" si="21"/>
        <v>0</v>
      </c>
      <c r="BA52" s="116" t="str">
        <f t="shared" ca="1" si="18"/>
        <v>AllowedRevenue_SO</v>
      </c>
      <c r="BB52" s="1" t="str">
        <f t="shared" si="19"/>
        <v>Forecasting penalty</v>
      </c>
      <c r="BC52" s="1" t="str">
        <f t="shared" si="20"/>
        <v>Recovered Revenue</v>
      </c>
    </row>
    <row r="53" spans="1:55" ht="15" customHeight="1">
      <c r="E53" t="s">
        <v>640</v>
      </c>
      <c r="F53" t="s">
        <v>70</v>
      </c>
      <c r="G53" t="str">
        <f>nominal</f>
        <v>£m nominal</v>
      </c>
      <c r="H53" t="s">
        <v>976</v>
      </c>
      <c r="AW53" s="61">
        <f ca="1">AV49*AV18*AV52</f>
        <v>0</v>
      </c>
      <c r="AX53" s="61">
        <f ca="1">AW49*AW18*AW52</f>
        <v>0</v>
      </c>
      <c r="AY53" s="61">
        <f ca="1">AX49*AX18*AX52</f>
        <v>0</v>
      </c>
      <c r="BA53" s="116" t="str">
        <f t="shared" ca="1" si="18"/>
        <v>AllowedRevenue_SO</v>
      </c>
      <c r="BB53" s="1" t="str">
        <f t="shared" si="19"/>
        <v>Forecasting penalty</v>
      </c>
      <c r="BC53" s="1" t="str">
        <f t="shared" si="20"/>
        <v>Recovered Revenue</v>
      </c>
    </row>
    <row r="54" spans="1:55" ht="15" customHeight="1"/>
    <row r="55" spans="1:55" ht="15" customHeight="1">
      <c r="E55" t="s">
        <v>461</v>
      </c>
      <c r="F55" t="s">
        <v>70</v>
      </c>
      <c r="G55" t="str">
        <f>nominal</f>
        <v>£m nominal</v>
      </c>
      <c r="H55" t="s">
        <v>977</v>
      </c>
      <c r="AW55" s="61">
        <f ca="1">SUM(AW43,AW53)</f>
        <v>0</v>
      </c>
      <c r="AX55" s="61">
        <f ca="1">SUM(AX43,AX53)</f>
        <v>0</v>
      </c>
      <c r="AY55" s="61">
        <f ca="1">SUM(AY43,AY53)</f>
        <v>0</v>
      </c>
      <c r="BA55" s="116" t="str">
        <f ca="1">$A$1</f>
        <v>AllowedRevenue_SO</v>
      </c>
      <c r="BB55" s="1" t="str">
        <f>$A$32</f>
        <v>Forecasting penalty</v>
      </c>
      <c r="BC55" s="1" t="str">
        <f>$B$45</f>
        <v>Recovered Revenue</v>
      </c>
    </row>
    <row r="56" spans="1:55" ht="15" customHeight="1"/>
    <row r="57" spans="1:55" ht="15" customHeight="1" thickBot="1">
      <c r="A57" s="15" t="s">
        <v>437</v>
      </c>
    </row>
    <row r="58" spans="1:55" ht="15" customHeight="1" thickTop="1">
      <c r="E58" t="s">
        <v>641</v>
      </c>
      <c r="G58" t="str">
        <f>nominal</f>
        <v>£m nominal</v>
      </c>
      <c r="H58" t="s">
        <v>978</v>
      </c>
      <c r="AU58" s="97">
        <f ca="1">AU19*AU13</f>
        <v>370.58385455151819</v>
      </c>
      <c r="AV58" s="38">
        <f ca="1">AV19*AV13</f>
        <v>337.97231581611931</v>
      </c>
      <c r="AW58" s="38">
        <f ca="1">AW19*AW13</f>
        <v>323.84803538612209</v>
      </c>
      <c r="AX58" s="38">
        <f ca="1">AX19*AX13</f>
        <v>318.77535868602627</v>
      </c>
      <c r="AY58" s="38">
        <f ca="1">AY19*AY13</f>
        <v>316.96969557137015</v>
      </c>
      <c r="BA58" s="116" t="str">
        <f ca="1">$A$1</f>
        <v>AllowedRevenue_SO</v>
      </c>
      <c r="BB58" s="1" t="str">
        <f>$A$57</f>
        <v>Allowed revenue</v>
      </c>
    </row>
    <row r="59" spans="1:55" ht="15" customHeight="1">
      <c r="E59" t="s">
        <v>462</v>
      </c>
      <c r="F59" t="s">
        <v>888</v>
      </c>
      <c r="G59" t="str">
        <f t="shared" ref="G59:G62" si="22">nominal</f>
        <v>£m nominal</v>
      </c>
      <c r="H59" t="s">
        <v>946</v>
      </c>
      <c r="AU59" s="97">
        <f>AU20</f>
        <v>-27.681067108085355</v>
      </c>
      <c r="AV59" s="38">
        <f>AV20</f>
        <v>0</v>
      </c>
      <c r="AW59" s="38">
        <f>AW20</f>
        <v>0</v>
      </c>
      <c r="AX59" s="38">
        <f>AX20</f>
        <v>0</v>
      </c>
      <c r="AY59" s="38">
        <f>AY20</f>
        <v>0</v>
      </c>
      <c r="BA59" s="116" t="str">
        <f ca="1">$A$1</f>
        <v>AllowedRevenue_SO</v>
      </c>
      <c r="BB59" s="1" t="str">
        <f>$A$57</f>
        <v>Allowed revenue</v>
      </c>
    </row>
    <row r="60" spans="1:55" ht="15" customHeight="1">
      <c r="E60" t="s">
        <v>458</v>
      </c>
      <c r="F60" t="s">
        <v>70</v>
      </c>
      <c r="G60" t="str">
        <f t="shared" si="22"/>
        <v>£m nominal</v>
      </c>
      <c r="H60" t="s">
        <v>972</v>
      </c>
      <c r="AU60" s="97">
        <f>AU30</f>
        <v>0</v>
      </c>
      <c r="AV60" s="38">
        <f t="shared" ref="AV60:AY60" ca="1" si="23">AV30</f>
        <v>0</v>
      </c>
      <c r="AW60" s="38">
        <f t="shared" ca="1" si="23"/>
        <v>0</v>
      </c>
      <c r="AX60" s="38">
        <f t="shared" ca="1" si="23"/>
        <v>0</v>
      </c>
      <c r="AY60" s="38">
        <f t="shared" ca="1" si="23"/>
        <v>0</v>
      </c>
      <c r="BA60" s="116" t="str">
        <f ca="1">$A$1</f>
        <v>AllowedRevenue_SO</v>
      </c>
      <c r="BB60" s="1" t="str">
        <f>$A$57</f>
        <v>Allowed revenue</v>
      </c>
    </row>
    <row r="61" spans="1:55" ht="15" customHeight="1">
      <c r="E61" t="s">
        <v>459</v>
      </c>
      <c r="F61" t="s">
        <v>70</v>
      </c>
      <c r="G61" t="str">
        <f t="shared" si="22"/>
        <v>£m nominal</v>
      </c>
      <c r="H61" t="s">
        <v>977</v>
      </c>
      <c r="AU61" s="97">
        <f>AU55</f>
        <v>0</v>
      </c>
      <c r="AV61" s="38">
        <f t="shared" ref="AV61:AY61" si="24">AV55</f>
        <v>0</v>
      </c>
      <c r="AW61" s="38">
        <f t="shared" ca="1" si="24"/>
        <v>0</v>
      </c>
      <c r="AX61" s="38">
        <f t="shared" ca="1" si="24"/>
        <v>0</v>
      </c>
      <c r="AY61" s="38">
        <f t="shared" ca="1" si="24"/>
        <v>0</v>
      </c>
      <c r="BA61" s="116" t="str">
        <f ca="1">$A$1</f>
        <v>AllowedRevenue_SO</v>
      </c>
      <c r="BB61" s="1" t="str">
        <f>$A$57</f>
        <v>Allowed revenue</v>
      </c>
    </row>
    <row r="62" spans="1:55" ht="15" customHeight="1">
      <c r="E62" t="s">
        <v>548</v>
      </c>
      <c r="F62" t="s">
        <v>70</v>
      </c>
      <c r="G62" t="str">
        <f t="shared" si="22"/>
        <v>£m nominal</v>
      </c>
      <c r="H62" t="s">
        <v>971</v>
      </c>
      <c r="AU62" s="141">
        <f ca="1">SUM(AU58:AU61)</f>
        <v>342.90278744343283</v>
      </c>
      <c r="AV62" s="65">
        <f t="shared" ref="AV62:AY62" ca="1" si="25">SUM(AV58:AV61)</f>
        <v>337.97231581611931</v>
      </c>
      <c r="AW62" s="65">
        <f t="shared" ca="1" si="25"/>
        <v>323.84803538612209</v>
      </c>
      <c r="AX62" s="65">
        <f t="shared" ca="1" si="25"/>
        <v>318.77535868602627</v>
      </c>
      <c r="AY62" s="65">
        <f t="shared" ca="1" si="25"/>
        <v>316.96969557137015</v>
      </c>
      <c r="BA62" s="116" t="str">
        <f ca="1">$A$1</f>
        <v>AllowedRevenue_SO</v>
      </c>
      <c r="BB62" s="1" t="str">
        <f>$A$57</f>
        <v>Allowed revenue</v>
      </c>
    </row>
    <row r="63" spans="1:55" ht="15" customHeight="1"/>
    <row r="64" spans="1:55" ht="20" thickBot="1">
      <c r="A64" s="15" t="s">
        <v>241</v>
      </c>
    </row>
    <row r="65" ht="15" customHeight="1" thickTop="1"/>
    <row r="66" ht="15" customHeight="1"/>
  </sheetData>
  <conditionalFormatting sqref="H1">
    <cfRule type="cellIs" dxfId="2" priority="1" operator="equal">
      <formula>"ERROR"</formula>
    </cfRule>
  </conditionalFormatting>
  <pageMargins left="0.7" right="0.7" top="0.75" bottom="0.75" header="0.3" footer="0.3"/>
  <pageSetup paperSize="9" orientation="portrait" r:id="rId1"/>
  <headerFooter>
    <oddFooter>&amp;L_x000D_&amp;1#&amp;"Aptos"&amp;10&amp;K000000 National Gas | Business Use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2DA6E-ABEA-4CEE-B8D9-EB982376A848}">
  <sheetPr>
    <tabColor rgb="FFFF9900"/>
    <pageSetUpPr autoPageBreaks="0" fitToPage="1"/>
  </sheetPr>
  <dimension ref="A1:BM824"/>
  <sheetViews>
    <sheetView workbookViewId="0">
      <pane xSplit="10" ySplit="4" topLeftCell="AU5" activePane="bottomRight" state="frozen"/>
      <selection pane="topRight" activeCell="K1" sqref="K1"/>
      <selection pane="bottomLeft" activeCell="A5" sqref="A5"/>
      <selection pane="bottomRight" activeCell="I26" sqref="I26"/>
    </sheetView>
  </sheetViews>
  <sheetFormatPr defaultColWidth="0" defaultRowHeight="16" zeroHeight="1" outlineLevelCol="1"/>
  <cols>
    <col min="1" max="2" width="1.81640625" style="8" customWidth="1"/>
    <col min="3" max="3" width="1.81640625" customWidth="1"/>
    <col min="4" max="4" width="15.7265625" customWidth="1"/>
    <col min="5" max="5" width="77.26953125" style="43" customWidth="1"/>
    <col min="6" max="6" width="8.7265625" style="43" customWidth="1"/>
    <col min="7" max="7" width="17.7265625" style="43" customWidth="1"/>
    <col min="8" max="8" width="9.7265625" style="43" customWidth="1"/>
    <col min="9" max="9" width="11.7265625" style="43" customWidth="1"/>
    <col min="10" max="10" width="2.08984375" style="43" customWidth="1"/>
    <col min="11" max="45" width="11.7265625" style="43" hidden="1" customWidth="1" outlineLevel="1"/>
    <col min="46" max="46" width="11.7265625" style="76" hidden="1" customWidth="1" outlineLevel="1"/>
    <col min="47" max="47" width="11.7265625" style="43" customWidth="1" collapsed="1"/>
    <col min="48" max="52" width="11.7265625" style="43" customWidth="1"/>
    <col min="53" max="56" width="10.7265625" style="44" customWidth="1"/>
    <col min="57" max="57" width="10.7265625" style="43" customWidth="1"/>
    <col min="58" max="58" width="1.7265625" style="43" customWidth="1"/>
    <col min="59" max="59" width="1.7265625" style="8" hidden="1" customWidth="1"/>
    <col min="60" max="60" width="12.08984375" style="8" hidden="1" customWidth="1"/>
    <col min="61" max="61" width="16" style="8" hidden="1" customWidth="1"/>
    <col min="62" max="64" width="12.08984375" style="8" hidden="1" customWidth="1"/>
    <col min="65" max="65" width="1.81640625" style="8" hidden="1" customWidth="1"/>
    <col min="66" max="16384" width="0" style="8" hidden="1"/>
  </cols>
  <sheetData>
    <row r="1" spans="1:65" s="132" customFormat="1" ht="14.5">
      <c r="A1" s="131" t="str" cm="1">
        <f t="array" aca="1" ref="A1" ca="1">MID(CELL("filename",$A$1),FIND("]",CELL("filename",$A$1))+1,255)</f>
        <v>Checks</v>
      </c>
      <c r="G1" s="132" t="s">
        <v>515</v>
      </c>
      <c r="H1" s="38" t="str">
        <f ca="1">I7</f>
        <v>ERROR</v>
      </c>
      <c r="AT1" s="133"/>
      <c r="BA1" s="134"/>
    </row>
    <row r="2" spans="1:65" s="132" customFormat="1" ht="14.5">
      <c r="AT2" s="133"/>
      <c r="BA2" s="134"/>
    </row>
    <row r="3" spans="1:65" s="132" customFormat="1" ht="14.5">
      <c r="E3" s="132" t="s">
        <v>0</v>
      </c>
      <c r="F3" s="132" t="s">
        <v>1</v>
      </c>
      <c r="G3" s="132" t="s">
        <v>2</v>
      </c>
      <c r="H3" s="132" t="s">
        <v>3</v>
      </c>
      <c r="AT3" s="133"/>
      <c r="AU3" s="132" t="s">
        <v>5</v>
      </c>
      <c r="BA3" s="134"/>
    </row>
    <row r="4" spans="1:65" s="132" customFormat="1" ht="14.5">
      <c r="E4" s="132" t="s">
        <v>6</v>
      </c>
      <c r="K4" s="135">
        <v>33328</v>
      </c>
      <c r="L4" s="135">
        <v>33694</v>
      </c>
      <c r="M4" s="135">
        <v>34059</v>
      </c>
      <c r="N4" s="135">
        <v>34424</v>
      </c>
      <c r="O4" s="135">
        <v>34789</v>
      </c>
      <c r="P4" s="135">
        <v>35155</v>
      </c>
      <c r="Q4" s="135">
        <v>35520</v>
      </c>
      <c r="R4" s="135">
        <v>35885</v>
      </c>
      <c r="S4" s="135">
        <v>36250</v>
      </c>
      <c r="T4" s="135">
        <v>36616</v>
      </c>
      <c r="U4" s="135">
        <v>36981</v>
      </c>
      <c r="V4" s="135">
        <v>37346</v>
      </c>
      <c r="W4" s="135">
        <v>37711</v>
      </c>
      <c r="X4" s="135">
        <v>38077</v>
      </c>
      <c r="Y4" s="135">
        <v>38442</v>
      </c>
      <c r="Z4" s="135">
        <v>38807</v>
      </c>
      <c r="AA4" s="135">
        <v>39172</v>
      </c>
      <c r="AB4" s="135">
        <v>39538</v>
      </c>
      <c r="AC4" s="135">
        <v>39903</v>
      </c>
      <c r="AD4" s="135">
        <v>40268</v>
      </c>
      <c r="AE4" s="135">
        <v>40633</v>
      </c>
      <c r="AF4" s="135">
        <v>40999</v>
      </c>
      <c r="AG4" s="135">
        <v>41364</v>
      </c>
      <c r="AH4" s="135">
        <v>41729</v>
      </c>
      <c r="AI4" s="135">
        <v>42094</v>
      </c>
      <c r="AJ4" s="135">
        <v>42460</v>
      </c>
      <c r="AK4" s="135">
        <v>42825</v>
      </c>
      <c r="AL4" s="135">
        <v>43190</v>
      </c>
      <c r="AM4" s="135">
        <v>43555</v>
      </c>
      <c r="AN4" s="135">
        <v>43921</v>
      </c>
      <c r="AO4" s="135">
        <v>44286</v>
      </c>
      <c r="AP4" s="135">
        <v>44651</v>
      </c>
      <c r="AQ4" s="135">
        <v>45016</v>
      </c>
      <c r="AR4" s="135">
        <v>45382</v>
      </c>
      <c r="AS4" s="135">
        <v>45747</v>
      </c>
      <c r="AT4" s="136">
        <v>46112</v>
      </c>
      <c r="AU4" s="135">
        <v>46477</v>
      </c>
      <c r="AV4" s="135">
        <v>46843</v>
      </c>
      <c r="AW4" s="135">
        <v>47208</v>
      </c>
      <c r="AX4" s="135">
        <v>47573</v>
      </c>
      <c r="AY4" s="135">
        <v>47938</v>
      </c>
      <c r="BA4" s="134"/>
    </row>
    <row r="5" spans="1:65" customFormat="1" ht="14.5">
      <c r="AT5" s="77"/>
    </row>
    <row r="6" spans="1:65" customFormat="1" ht="20" thickBot="1">
      <c r="A6" s="15" t="s">
        <v>516</v>
      </c>
      <c r="AT6" s="77"/>
    </row>
    <row r="7" spans="1:65" customFormat="1" ht="15" thickTop="1">
      <c r="I7" s="61" t="str">
        <f ca="1">IF(SUM(I10:I31)&lt;&gt;0,"ERROR","No errors")</f>
        <v>ERROR</v>
      </c>
      <c r="AT7" s="77"/>
    </row>
    <row r="8" spans="1:65" customFormat="1" ht="14.5">
      <c r="AT8" s="77"/>
    </row>
    <row r="9" spans="1:65" s="44" customFormat="1" ht="20" thickBot="1">
      <c r="A9" s="15" t="s">
        <v>587</v>
      </c>
      <c r="B9" s="8"/>
      <c r="C9"/>
      <c r="D9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76"/>
      <c r="AU9" s="43"/>
      <c r="AV9" s="43"/>
      <c r="AW9" s="43"/>
      <c r="AX9" s="43"/>
      <c r="AY9" s="43"/>
      <c r="AZ9" s="43"/>
      <c r="BE9" s="43"/>
      <c r="BF9" s="43"/>
      <c r="BG9" s="8"/>
      <c r="BH9" s="8"/>
      <c r="BI9" s="8"/>
      <c r="BJ9" s="8"/>
      <c r="BK9" s="8"/>
      <c r="BL9" s="8"/>
      <c r="BM9" s="8"/>
    </row>
    <row r="10" spans="1:65" s="44" customFormat="1" ht="16.5" thickTop="1">
      <c r="A10" s="8"/>
      <c r="B10" s="8"/>
      <c r="C10"/>
      <c r="D10"/>
      <c r="E10" s="43" t="s">
        <v>619</v>
      </c>
      <c r="F10" s="43"/>
      <c r="G10" s="43"/>
      <c r="H10" s="43"/>
      <c r="I10" s="52">
        <f>COUNTIFS(AU104:AY146,"&lt;&gt;1",AU104:AY146,"&lt;&gt;0")</f>
        <v>0</v>
      </c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76"/>
      <c r="AU10" s="43"/>
      <c r="AV10" s="43"/>
      <c r="AW10" s="43"/>
      <c r="AX10" s="43"/>
      <c r="AY10" s="43"/>
      <c r="AZ10" s="43"/>
      <c r="BE10" s="43"/>
      <c r="BF10" s="43"/>
      <c r="BG10" s="8"/>
      <c r="BH10" s="8"/>
      <c r="BI10" s="8"/>
      <c r="BJ10" s="8"/>
      <c r="BK10" s="8"/>
      <c r="BL10" s="8"/>
      <c r="BM10" s="8"/>
    </row>
    <row r="11" spans="1:65" s="44" customFormat="1">
      <c r="A11" s="8"/>
      <c r="B11" s="8"/>
      <c r="C11"/>
      <c r="D11"/>
      <c r="E11" s="43" t="s">
        <v>620</v>
      </c>
      <c r="F11" s="43"/>
      <c r="G11" s="43"/>
      <c r="H11" s="43"/>
      <c r="I11" s="52">
        <f>COUNTIFS(BC104:BC147,TRUE)</f>
        <v>0</v>
      </c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76"/>
      <c r="AU11" s="43"/>
      <c r="AV11" s="43"/>
      <c r="AW11" s="43"/>
      <c r="AX11" s="43"/>
      <c r="AY11" s="43"/>
      <c r="AZ11" s="43"/>
      <c r="BE11" s="43"/>
      <c r="BF11" s="43"/>
      <c r="BG11" s="8"/>
      <c r="BH11" s="8"/>
      <c r="BI11" s="8"/>
      <c r="BJ11" s="8"/>
      <c r="BK11" s="8"/>
      <c r="BL11" s="8"/>
      <c r="BM11" s="8"/>
    </row>
    <row r="12" spans="1:65" customFormat="1" ht="14.5">
      <c r="AT12" s="77"/>
    </row>
    <row r="13" spans="1:65" s="44" customFormat="1">
      <c r="A13" s="8"/>
      <c r="B13" s="8"/>
      <c r="C13"/>
      <c r="D13"/>
      <c r="E13" s="43" t="s">
        <v>621</v>
      </c>
      <c r="F13" s="43"/>
      <c r="G13" s="43"/>
      <c r="H13" s="43"/>
      <c r="I13" s="52">
        <f>COUNTIFS(AU149:AY164,"&lt;&gt;1",AU149:AY164,"&lt;&gt;0")</f>
        <v>0</v>
      </c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3"/>
      <c r="AP13" s="43"/>
      <c r="AQ13" s="43"/>
      <c r="AR13" s="43"/>
      <c r="AS13" s="43"/>
      <c r="AT13" s="76"/>
      <c r="AU13" s="43"/>
      <c r="AV13" s="43"/>
      <c r="AW13" s="43"/>
      <c r="AX13" s="43"/>
      <c r="AY13" s="43"/>
      <c r="AZ13" s="43"/>
      <c r="BE13" s="43"/>
      <c r="BF13" s="43"/>
      <c r="BG13" s="8"/>
      <c r="BH13" s="8"/>
      <c r="BI13" s="8"/>
      <c r="BJ13" s="8"/>
      <c r="BK13" s="8"/>
      <c r="BL13" s="8"/>
      <c r="BM13" s="8"/>
    </row>
    <row r="14" spans="1:65" s="44" customFormat="1">
      <c r="A14" s="8"/>
      <c r="B14" s="8"/>
      <c r="C14"/>
      <c r="D14"/>
      <c r="E14" s="43" t="s">
        <v>622</v>
      </c>
      <c r="F14" s="43"/>
      <c r="G14" s="43"/>
      <c r="H14" s="43"/>
      <c r="I14" s="52">
        <f>COUNTIFS(BC149:BC164,TRUE)</f>
        <v>0</v>
      </c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3"/>
      <c r="AL14" s="43"/>
      <c r="AM14" s="43"/>
      <c r="AN14" s="43"/>
      <c r="AO14" s="43"/>
      <c r="AP14" s="43"/>
      <c r="AQ14" s="43"/>
      <c r="AR14" s="43"/>
      <c r="AS14" s="43"/>
      <c r="AT14" s="76"/>
      <c r="AU14" s="43"/>
      <c r="AV14" s="43"/>
      <c r="AW14" s="43"/>
      <c r="AX14" s="43"/>
      <c r="AY14" s="43"/>
      <c r="AZ14" s="43"/>
      <c r="BE14" s="43"/>
      <c r="BF14" s="43"/>
      <c r="BG14" s="8"/>
      <c r="BH14" s="8"/>
      <c r="BI14" s="8"/>
      <c r="BJ14" s="8"/>
      <c r="BK14" s="8"/>
      <c r="BL14" s="8"/>
      <c r="BM14" s="8"/>
    </row>
    <row r="15" spans="1:65" customFormat="1" ht="14.5">
      <c r="AT15" s="77"/>
    </row>
    <row r="16" spans="1:65" customFormat="1" ht="14.5">
      <c r="E16" t="s">
        <v>609</v>
      </c>
      <c r="I16" s="52">
        <f>IF(COUNTA(NGT_TO!E81:E123)=COUNTA(E104:E146),0,1)</f>
        <v>0</v>
      </c>
      <c r="AT16" s="77"/>
    </row>
    <row r="17" spans="1:50" customFormat="1" ht="14.5">
      <c r="E17" t="s">
        <v>610</v>
      </c>
      <c r="I17" s="52">
        <f>IF(COUNTA(NGT_SO!E61:E77)=COUNTA(E149:E164),0,1)</f>
        <v>0</v>
      </c>
      <c r="AT17" s="77"/>
    </row>
    <row r="18" spans="1:50" customFormat="1" ht="14.5">
      <c r="AT18" s="77"/>
    </row>
    <row r="19" spans="1:50" customFormat="1" ht="14.5">
      <c r="E19" s="43" t="s">
        <v>588</v>
      </c>
      <c r="I19" s="52">
        <f>SUM(I34:I35,K34:AY35)</f>
        <v>0</v>
      </c>
      <c r="AT19" s="77"/>
    </row>
    <row r="20" spans="1:50" customFormat="1" ht="14.5">
      <c r="E20" s="43" t="s">
        <v>589</v>
      </c>
      <c r="I20" s="52">
        <f ca="1">SUM(I38:I54,K38:AY54)</f>
        <v>0</v>
      </c>
      <c r="AT20" s="77"/>
    </row>
    <row r="21" spans="1:50" customFormat="1" ht="14.5">
      <c r="E21" s="43" t="s">
        <v>515</v>
      </c>
      <c r="I21" s="52">
        <f ca="1">SUM(I57:I73,K57:AY73)</f>
        <v>0</v>
      </c>
      <c r="AT21" s="77"/>
    </row>
    <row r="22" spans="1:50" customFormat="1" ht="14.5">
      <c r="AT22" s="77"/>
    </row>
    <row r="23" spans="1:50" customFormat="1" ht="14.5">
      <c r="E23" s="43" t="s">
        <v>611</v>
      </c>
      <c r="I23" s="52">
        <f>IF(ROUND(SUM(AU100:AY100),2)=5,0,1)</f>
        <v>0</v>
      </c>
      <c r="AT23" s="77"/>
      <c r="AW23" s="246"/>
      <c r="AX23" s="246"/>
    </row>
    <row r="24" spans="1:50" customFormat="1" ht="14.5">
      <c r="E24" s="43" t="s">
        <v>612</v>
      </c>
      <c r="I24" s="52">
        <f>IF(ROUND(SUM(AU101:AY101),2)=5,0,1)</f>
        <v>0</v>
      </c>
      <c r="AT24" s="77"/>
    </row>
    <row r="25" spans="1:50" customFormat="1" ht="14.5">
      <c r="E25" s="43"/>
      <c r="AT25" s="77"/>
    </row>
    <row r="26" spans="1:50" customFormat="1" ht="14.5">
      <c r="E26" t="s">
        <v>613</v>
      </c>
      <c r="I26" s="52">
        <f>(SUM(AU85:AY85)&lt;&gt;0)*1</f>
        <v>1</v>
      </c>
      <c r="AT26" s="77"/>
    </row>
    <row r="27" spans="1:50" customFormat="1" ht="14.5">
      <c r="E27" t="s">
        <v>614</v>
      </c>
      <c r="I27" s="52">
        <f>(SUM(AU86:AY86)&lt;&gt;0)*1</f>
        <v>0</v>
      </c>
      <c r="AT27" s="77"/>
    </row>
    <row r="28" spans="1:50" customFormat="1" ht="14.5">
      <c r="AT28" s="77"/>
    </row>
    <row r="29" spans="1:50" customFormat="1" ht="14.5">
      <c r="E29" t="s">
        <v>615</v>
      </c>
      <c r="I29" s="52">
        <f>(SUM(AU96:AY96)&lt;&gt;0)*1</f>
        <v>0</v>
      </c>
      <c r="AT29" s="77"/>
    </row>
    <row r="30" spans="1:50" customFormat="1" ht="14.5">
      <c r="E30" t="s">
        <v>616</v>
      </c>
      <c r="I30" s="52">
        <f>(SUM(AU97:AY97)&lt;&gt;0)*1</f>
        <v>0</v>
      </c>
      <c r="AT30" s="77"/>
    </row>
    <row r="31" spans="1:50" customFormat="1" ht="14.5">
      <c r="AT31" s="77"/>
    </row>
    <row r="32" spans="1:50" customFormat="1" ht="20" thickBot="1">
      <c r="A32" s="15" t="s">
        <v>592</v>
      </c>
      <c r="AT32" s="77"/>
    </row>
    <row r="33" spans="1:51" customFormat="1" ht="18" thickTop="1" thickBot="1">
      <c r="A33" s="8"/>
      <c r="B33" s="17" t="s">
        <v>593</v>
      </c>
      <c r="AT33" s="77"/>
    </row>
    <row r="34" spans="1:51" customFormat="1" ht="15" thickTop="1">
      <c r="E34" t="s">
        <v>499</v>
      </c>
      <c r="I34" s="52" cm="1">
        <f t="array" ref="I34">SUM(--_xlfn.ISFORMULA(NGT_TO!I5:I992))</f>
        <v>0</v>
      </c>
      <c r="K34" s="52" cm="1">
        <f t="array" ref="K34">SUM(--_xlfn.ISFORMULA(NGT_TO!K5:K992))</f>
        <v>0</v>
      </c>
      <c r="L34" s="52" cm="1">
        <f t="array" ref="L34">SUM(--_xlfn.ISFORMULA(NGT_TO!L5:L992))</f>
        <v>0</v>
      </c>
      <c r="M34" s="52" cm="1">
        <f t="array" ref="M34">SUM(--_xlfn.ISFORMULA(NGT_TO!M5:M992))</f>
        <v>0</v>
      </c>
      <c r="N34" s="52" cm="1">
        <f t="array" ref="N34">SUM(--_xlfn.ISFORMULA(NGT_TO!N5:N992))</f>
        <v>0</v>
      </c>
      <c r="O34" s="52" cm="1">
        <f t="array" ref="O34">SUM(--_xlfn.ISFORMULA(NGT_TO!O5:O992))</f>
        <v>0</v>
      </c>
      <c r="P34" s="52" cm="1">
        <f t="array" ref="P34">SUM(--_xlfn.ISFORMULA(NGT_TO!P5:P992))</f>
        <v>0</v>
      </c>
      <c r="Q34" s="52" cm="1">
        <f t="array" ref="Q34">SUM(--_xlfn.ISFORMULA(NGT_TO!Q5:Q992))</f>
        <v>0</v>
      </c>
      <c r="R34" s="52" cm="1">
        <f t="array" ref="R34">SUM(--_xlfn.ISFORMULA(NGT_TO!R5:R992))</f>
        <v>0</v>
      </c>
      <c r="S34" s="52" cm="1">
        <f t="array" ref="S34">SUM(--_xlfn.ISFORMULA(NGT_TO!S5:S992))</f>
        <v>0</v>
      </c>
      <c r="T34" s="52" cm="1">
        <f t="array" ref="T34">SUM(--_xlfn.ISFORMULA(NGT_TO!T5:T992))</f>
        <v>0</v>
      </c>
      <c r="U34" s="52" cm="1">
        <f t="array" ref="U34">SUM(--_xlfn.ISFORMULA(NGT_TO!U5:U992))</f>
        <v>0</v>
      </c>
      <c r="V34" s="52" cm="1">
        <f t="array" ref="V34">SUM(--_xlfn.ISFORMULA(NGT_TO!V5:V992))</f>
        <v>0</v>
      </c>
      <c r="W34" s="52" cm="1">
        <f t="array" ref="W34">SUM(--_xlfn.ISFORMULA(NGT_TO!W5:W992))</f>
        <v>0</v>
      </c>
      <c r="X34" s="52" cm="1">
        <f t="array" ref="X34">SUM(--_xlfn.ISFORMULA(NGT_TO!X5:X992))</f>
        <v>0</v>
      </c>
      <c r="Y34" s="52" cm="1">
        <f t="array" ref="Y34">SUM(--_xlfn.ISFORMULA(NGT_TO!Y5:Y992))</f>
        <v>0</v>
      </c>
      <c r="Z34" s="52" cm="1">
        <f t="array" ref="Z34">SUM(--_xlfn.ISFORMULA(NGT_TO!Z5:Z992))</f>
        <v>0</v>
      </c>
      <c r="AA34" s="52" cm="1">
        <f t="array" ref="AA34">SUM(--_xlfn.ISFORMULA(NGT_TO!AA5:AA992))</f>
        <v>0</v>
      </c>
      <c r="AB34" s="52" cm="1">
        <f t="array" ref="AB34">SUM(--_xlfn.ISFORMULA(NGT_TO!AB5:AB992))</f>
        <v>0</v>
      </c>
      <c r="AC34" s="52" cm="1">
        <f t="array" ref="AC34">SUM(--_xlfn.ISFORMULA(NGT_TO!AC5:AC992))</f>
        <v>0</v>
      </c>
      <c r="AD34" s="52" cm="1">
        <f t="array" ref="AD34">SUM(--_xlfn.ISFORMULA(NGT_TO!AD5:AD992))</f>
        <v>0</v>
      </c>
      <c r="AE34" s="52" cm="1">
        <f t="array" ref="AE34">SUM(--_xlfn.ISFORMULA(NGT_TO!AE5:AE992))</f>
        <v>0</v>
      </c>
      <c r="AF34" s="52" cm="1">
        <f t="array" ref="AF34">SUM(--_xlfn.ISFORMULA(NGT_TO!AF5:AF992))</f>
        <v>0</v>
      </c>
      <c r="AG34" s="52" cm="1">
        <f t="array" ref="AG34">SUM(--_xlfn.ISFORMULA(NGT_TO!AG5:AG992))</f>
        <v>0</v>
      </c>
      <c r="AH34" s="52" cm="1">
        <f t="array" ref="AH34">SUM(--_xlfn.ISFORMULA(NGT_TO!AH5:AH992))</f>
        <v>0</v>
      </c>
      <c r="AI34" s="52" cm="1">
        <f t="array" ref="AI34">SUM(--_xlfn.ISFORMULA(NGT_TO!AI5:AI992))</f>
        <v>0</v>
      </c>
      <c r="AJ34" s="52" cm="1">
        <f t="array" ref="AJ34">SUM(--_xlfn.ISFORMULA(NGT_TO!AJ5:AJ992))</f>
        <v>0</v>
      </c>
      <c r="AK34" s="52" cm="1">
        <f t="array" ref="AK34">SUM(--_xlfn.ISFORMULA(NGT_TO!AK5:AK992))</f>
        <v>0</v>
      </c>
      <c r="AL34" s="52" cm="1">
        <f t="array" ref="AL34">SUM(--_xlfn.ISFORMULA(NGT_TO!AL5:AL992))</f>
        <v>0</v>
      </c>
      <c r="AM34" s="52" cm="1">
        <f t="array" ref="AM34">SUM(--_xlfn.ISFORMULA(NGT_TO!AM5:AM992))</f>
        <v>0</v>
      </c>
      <c r="AN34" s="52" cm="1">
        <f t="array" ref="AN34">SUM(--_xlfn.ISFORMULA(NGT_TO!AN5:AN992))</f>
        <v>0</v>
      </c>
      <c r="AO34" s="52" cm="1">
        <f t="array" ref="AO34">SUM(--_xlfn.ISFORMULA(NGT_TO!AO5:AO992))</f>
        <v>0</v>
      </c>
      <c r="AP34" s="52" cm="1">
        <f t="array" ref="AP34">SUM(--_xlfn.ISFORMULA(NGT_TO!AP5:AP992))</f>
        <v>0</v>
      </c>
      <c r="AQ34" s="52" cm="1">
        <f t="array" ref="AQ34">SUM(--_xlfn.ISFORMULA(NGT_TO!AQ5:AQ992))</f>
        <v>0</v>
      </c>
      <c r="AR34" s="52" cm="1">
        <f t="array" ref="AR34">SUM(--_xlfn.ISFORMULA(NGT_TO!AR5:AR992))</f>
        <v>0</v>
      </c>
      <c r="AS34" s="52" cm="1">
        <f t="array" ref="AS34">SUM(--_xlfn.ISFORMULA(NGT_TO!AS5:AS992))</f>
        <v>0</v>
      </c>
      <c r="AT34" s="191" cm="1">
        <f t="array" ref="AT34">SUM(--_xlfn.ISFORMULA(NGT_TO!AT5:AT992))</f>
        <v>0</v>
      </c>
      <c r="AU34" s="172" cm="1">
        <f t="array" ref="AU34">SUM(--_xlfn.ISFORMULA(NGT_TO!AU5:AU992))</f>
        <v>0</v>
      </c>
      <c r="AV34" s="52" cm="1">
        <f t="array" ref="AV34">SUM(--_xlfn.ISFORMULA(NGT_TO!AV5:AV992))</f>
        <v>0</v>
      </c>
      <c r="AW34" s="52" cm="1">
        <f t="array" ref="AW34">SUM(--_xlfn.ISFORMULA(NGT_TO!AW5:AW992))</f>
        <v>0</v>
      </c>
      <c r="AX34" s="52" cm="1">
        <f t="array" ref="AX34">SUM(--_xlfn.ISFORMULA(NGT_TO!AX5:AX992))</f>
        <v>0</v>
      </c>
      <c r="AY34" s="52" cm="1">
        <f t="array" ref="AY34">SUM(--_xlfn.ISFORMULA(NGT_TO!AY5:AY992))</f>
        <v>0</v>
      </c>
    </row>
    <row r="35" spans="1:51" customFormat="1" ht="14.5">
      <c r="E35" t="s">
        <v>501</v>
      </c>
      <c r="I35" s="52" cm="1">
        <f t="array" ref="I35">SUM(--_xlfn.ISFORMULA(NGT_SO!I5:I500))</f>
        <v>0</v>
      </c>
      <c r="K35" s="52" cm="1">
        <f t="array" ref="K35">SUM(--_xlfn.ISFORMULA(NGT_SO!K5:K500))</f>
        <v>0</v>
      </c>
      <c r="L35" s="52" cm="1">
        <f t="array" ref="L35">SUM(--_xlfn.ISFORMULA(NGT_SO!L5:L500))</f>
        <v>0</v>
      </c>
      <c r="M35" s="52" cm="1">
        <f t="array" ref="M35">SUM(--_xlfn.ISFORMULA(NGT_SO!M5:M500))</f>
        <v>0</v>
      </c>
      <c r="N35" s="52" cm="1">
        <f t="array" ref="N35">SUM(--_xlfn.ISFORMULA(NGT_SO!N5:N500))</f>
        <v>0</v>
      </c>
      <c r="O35" s="52" cm="1">
        <f t="array" ref="O35">SUM(--_xlfn.ISFORMULA(NGT_SO!O5:O500))</f>
        <v>0</v>
      </c>
      <c r="P35" s="52" cm="1">
        <f t="array" ref="P35">SUM(--_xlfn.ISFORMULA(NGT_SO!P5:P500))</f>
        <v>0</v>
      </c>
      <c r="Q35" s="52" cm="1">
        <f t="array" ref="Q35">SUM(--_xlfn.ISFORMULA(NGT_SO!Q5:Q500))</f>
        <v>0</v>
      </c>
      <c r="R35" s="52" cm="1">
        <f t="array" ref="R35">SUM(--_xlfn.ISFORMULA(NGT_SO!R5:R500))</f>
        <v>0</v>
      </c>
      <c r="S35" s="52" cm="1">
        <f t="array" ref="S35">SUM(--_xlfn.ISFORMULA(NGT_SO!S5:S500))</f>
        <v>0</v>
      </c>
      <c r="T35" s="52" cm="1">
        <f t="array" ref="T35">SUM(--_xlfn.ISFORMULA(NGT_SO!T5:T500))</f>
        <v>0</v>
      </c>
      <c r="U35" s="52" cm="1">
        <f t="array" ref="U35">SUM(--_xlfn.ISFORMULA(NGT_SO!U5:U500))</f>
        <v>0</v>
      </c>
      <c r="V35" s="52" cm="1">
        <f t="array" ref="V35">SUM(--_xlfn.ISFORMULA(NGT_SO!V5:V500))</f>
        <v>0</v>
      </c>
      <c r="W35" s="52" cm="1">
        <f t="array" ref="W35">SUM(--_xlfn.ISFORMULA(NGT_SO!W5:W500))</f>
        <v>0</v>
      </c>
      <c r="X35" s="52" cm="1">
        <f t="array" ref="X35">SUM(--_xlfn.ISFORMULA(NGT_SO!X5:X500))</f>
        <v>0</v>
      </c>
      <c r="Y35" s="52" cm="1">
        <f t="array" ref="Y35">SUM(--_xlfn.ISFORMULA(NGT_SO!Y5:Y500))</f>
        <v>0</v>
      </c>
      <c r="Z35" s="52" cm="1">
        <f t="array" ref="Z35">SUM(--_xlfn.ISFORMULA(NGT_SO!Z5:Z500))</f>
        <v>0</v>
      </c>
      <c r="AA35" s="52" cm="1">
        <f t="array" ref="AA35">SUM(--_xlfn.ISFORMULA(NGT_SO!AA5:AA500))</f>
        <v>0</v>
      </c>
      <c r="AB35" s="52" cm="1">
        <f t="array" ref="AB35">SUM(--_xlfn.ISFORMULA(NGT_SO!AB5:AB500))</f>
        <v>0</v>
      </c>
      <c r="AC35" s="52" cm="1">
        <f t="array" ref="AC35">SUM(--_xlfn.ISFORMULA(NGT_SO!AC5:AC500))</f>
        <v>0</v>
      </c>
      <c r="AD35" s="52" cm="1">
        <f t="array" ref="AD35">SUM(--_xlfn.ISFORMULA(NGT_SO!AD5:AD500))</f>
        <v>0</v>
      </c>
      <c r="AE35" s="52" cm="1">
        <f t="array" ref="AE35">SUM(--_xlfn.ISFORMULA(NGT_SO!AE5:AE500))</f>
        <v>0</v>
      </c>
      <c r="AF35" s="52" cm="1">
        <f t="array" ref="AF35">SUM(--_xlfn.ISFORMULA(NGT_SO!AF5:AF500))</f>
        <v>0</v>
      </c>
      <c r="AG35" s="52" cm="1">
        <f t="array" ref="AG35">SUM(--_xlfn.ISFORMULA(NGT_SO!AG5:AG500))</f>
        <v>0</v>
      </c>
      <c r="AH35" s="52" cm="1">
        <f t="array" ref="AH35">SUM(--_xlfn.ISFORMULA(NGT_SO!AH5:AH500))</f>
        <v>0</v>
      </c>
      <c r="AI35" s="52" cm="1">
        <f t="array" ref="AI35">SUM(--_xlfn.ISFORMULA(NGT_SO!AI5:AI500))</f>
        <v>0</v>
      </c>
      <c r="AJ35" s="52" cm="1">
        <f t="array" ref="AJ35">SUM(--_xlfn.ISFORMULA(NGT_SO!AJ5:AJ500))</f>
        <v>0</v>
      </c>
      <c r="AK35" s="52" cm="1">
        <f t="array" ref="AK35">SUM(--_xlfn.ISFORMULA(NGT_SO!AK5:AK500))</f>
        <v>0</v>
      </c>
      <c r="AL35" s="52" cm="1">
        <f t="array" ref="AL35">SUM(--_xlfn.ISFORMULA(NGT_SO!AL5:AL500))</f>
        <v>0</v>
      </c>
      <c r="AM35" s="52" cm="1">
        <f t="array" ref="AM35">SUM(--_xlfn.ISFORMULA(NGT_SO!AM5:AM500))</f>
        <v>0</v>
      </c>
      <c r="AN35" s="52" cm="1">
        <f t="array" ref="AN35">SUM(--_xlfn.ISFORMULA(NGT_SO!AN5:AN500))</f>
        <v>0</v>
      </c>
      <c r="AO35" s="52" cm="1">
        <f t="array" ref="AO35">SUM(--_xlfn.ISFORMULA(NGT_SO!AO5:AO500))</f>
        <v>0</v>
      </c>
      <c r="AP35" s="52" cm="1">
        <f t="array" ref="AP35">SUM(--_xlfn.ISFORMULA(NGT_SO!AP5:AP500))</f>
        <v>0</v>
      </c>
      <c r="AQ35" s="52" cm="1">
        <f t="array" ref="AQ35">SUM(--_xlfn.ISFORMULA(NGT_SO!AQ5:AQ500))</f>
        <v>0</v>
      </c>
      <c r="AR35" s="52" cm="1">
        <f t="array" ref="AR35">SUM(--_xlfn.ISFORMULA(NGT_SO!AR5:AR500))</f>
        <v>0</v>
      </c>
      <c r="AS35" s="52" cm="1">
        <f t="array" ref="AS35">SUM(--_xlfn.ISFORMULA(NGT_SO!AS5:AS500))</f>
        <v>0</v>
      </c>
      <c r="AT35" s="191" cm="1">
        <f t="array" ref="AT35">SUM(--_xlfn.ISFORMULA(NGT_SO!AT5:AT500))</f>
        <v>0</v>
      </c>
      <c r="AU35" s="172" cm="1">
        <f t="array" ref="AU35">SUM(--_xlfn.ISFORMULA(NGT_SO!AU5:AU500))</f>
        <v>0</v>
      </c>
      <c r="AV35" s="52" cm="1">
        <f t="array" ref="AV35">SUM(--_xlfn.ISFORMULA(NGT_SO!AV5:AV500))</f>
        <v>0</v>
      </c>
      <c r="AW35" s="52" cm="1">
        <f t="array" ref="AW35">SUM(--_xlfn.ISFORMULA(NGT_SO!AW5:AW500))</f>
        <v>0</v>
      </c>
      <c r="AX35" s="52" cm="1">
        <f t="array" ref="AX35">SUM(--_xlfn.ISFORMULA(NGT_SO!AX5:AX500))</f>
        <v>0</v>
      </c>
      <c r="AY35" s="52" cm="1">
        <f t="array" ref="AY35">SUM(--_xlfn.ISFORMULA(NGT_SO!AY5:AY500))</f>
        <v>0</v>
      </c>
    </row>
    <row r="36" spans="1:51" customFormat="1" ht="14.5">
      <c r="AT36" s="77"/>
    </row>
    <row r="37" spans="1:51" customFormat="1" ht="17.5" thickBot="1">
      <c r="A37" s="8"/>
      <c r="B37" s="17" t="s">
        <v>594</v>
      </c>
      <c r="AT37" s="77"/>
    </row>
    <row r="38" spans="1:51" customFormat="1" ht="15" thickTop="1">
      <c r="E38" t="s">
        <v>502</v>
      </c>
      <c r="I38" s="52" cm="1">
        <f t="array" ref="I38">COUNTA(VariantAllowances!I$5:I$972)-SUM(--_xlfn.ISFORMULA(VariantAllowances!I$5:I$972))</f>
        <v>0</v>
      </c>
      <c r="K38" s="52" cm="1">
        <f t="array" ref="K38">COUNTA(VariantAllowances!K$5:K$972)-SUM(--_xlfn.ISFORMULA(VariantAllowances!K$5:K$972))</f>
        <v>0</v>
      </c>
      <c r="L38" s="52" cm="1">
        <f t="array" ref="L38">COUNTA(VariantAllowances!L$5:L$972)-SUM(--_xlfn.ISFORMULA(VariantAllowances!L$5:L$972))</f>
        <v>0</v>
      </c>
      <c r="M38" s="52" cm="1">
        <f t="array" ref="M38">COUNTA(VariantAllowances!M$5:M$972)-SUM(--_xlfn.ISFORMULA(VariantAllowances!M$5:M$972))</f>
        <v>0</v>
      </c>
      <c r="N38" s="52" cm="1">
        <f t="array" ref="N38">COUNTA(VariantAllowances!N$5:N$972)-SUM(--_xlfn.ISFORMULA(VariantAllowances!N$5:N$972))</f>
        <v>0</v>
      </c>
      <c r="O38" s="52" cm="1">
        <f t="array" ref="O38">COUNTA(VariantAllowances!O$5:O$972)-SUM(--_xlfn.ISFORMULA(VariantAllowances!O$5:O$972))</f>
        <v>0</v>
      </c>
      <c r="P38" s="52" cm="1">
        <f t="array" ref="P38">COUNTA(VariantAllowances!P$5:P$972)-SUM(--_xlfn.ISFORMULA(VariantAllowances!P$5:P$972))</f>
        <v>0</v>
      </c>
      <c r="Q38" s="52" cm="1">
        <f t="array" ref="Q38">COUNTA(VariantAllowances!Q$5:Q$972)-SUM(--_xlfn.ISFORMULA(VariantAllowances!Q$5:Q$972))</f>
        <v>0</v>
      </c>
      <c r="R38" s="52" cm="1">
        <f t="array" ref="R38">COUNTA(VariantAllowances!R$5:R$972)-SUM(--_xlfn.ISFORMULA(VariantAllowances!R$5:R$972))</f>
        <v>0</v>
      </c>
      <c r="S38" s="52" cm="1">
        <f t="array" ref="S38">COUNTA(VariantAllowances!S$5:S$972)-SUM(--_xlfn.ISFORMULA(VariantAllowances!S$5:S$972))</f>
        <v>0</v>
      </c>
      <c r="T38" s="52" cm="1">
        <f t="array" ref="T38">COUNTA(VariantAllowances!T$5:T$972)-SUM(--_xlfn.ISFORMULA(VariantAllowances!T$5:T$972))</f>
        <v>0</v>
      </c>
      <c r="U38" s="52" cm="1">
        <f t="array" ref="U38">COUNTA(VariantAllowances!U$5:U$972)-SUM(--_xlfn.ISFORMULA(VariantAllowances!U$5:U$972))</f>
        <v>0</v>
      </c>
      <c r="V38" s="52" cm="1">
        <f t="array" ref="V38">COUNTA(VariantAllowances!V$5:V$972)-SUM(--_xlfn.ISFORMULA(VariantAllowances!V$5:V$972))</f>
        <v>0</v>
      </c>
      <c r="W38" s="52" cm="1">
        <f t="array" ref="W38">COUNTA(VariantAllowances!W$5:W$972)-SUM(--_xlfn.ISFORMULA(VariantAllowances!W$5:W$972))</f>
        <v>0</v>
      </c>
      <c r="X38" s="52" cm="1">
        <f t="array" ref="X38">COUNTA(VariantAllowances!X$5:X$972)-SUM(--_xlfn.ISFORMULA(VariantAllowances!X$5:X$972))</f>
        <v>0</v>
      </c>
      <c r="Y38" s="52" cm="1">
        <f t="array" ref="Y38">COUNTA(VariantAllowances!Y$5:Y$972)-SUM(--_xlfn.ISFORMULA(VariantAllowances!Y$5:Y$972))</f>
        <v>0</v>
      </c>
      <c r="Z38" s="52" cm="1">
        <f t="array" ref="Z38">COUNTA(VariantAllowances!Z$5:Z$972)-SUM(--_xlfn.ISFORMULA(VariantAllowances!Z$5:Z$972))</f>
        <v>0</v>
      </c>
      <c r="AA38" s="52" cm="1">
        <f t="array" ref="AA38">COUNTA(VariantAllowances!AA$5:AA$972)-SUM(--_xlfn.ISFORMULA(VariantAllowances!AA$5:AA$972))</f>
        <v>0</v>
      </c>
      <c r="AB38" s="52" cm="1">
        <f t="array" ref="AB38">COUNTA(VariantAllowances!AB$5:AB$972)-SUM(--_xlfn.ISFORMULA(VariantAllowances!AB$5:AB$972))</f>
        <v>0</v>
      </c>
      <c r="AC38" s="52" cm="1">
        <f t="array" ref="AC38">COUNTA(VariantAllowances!AC$5:AC$972)-SUM(--_xlfn.ISFORMULA(VariantAllowances!AC$5:AC$972))</f>
        <v>0</v>
      </c>
      <c r="AD38" s="52" cm="1">
        <f t="array" ref="AD38">COUNTA(VariantAllowances!AD$5:AD$972)-SUM(--_xlfn.ISFORMULA(VariantAllowances!AD$5:AD$972))</f>
        <v>0</v>
      </c>
      <c r="AE38" s="52" cm="1">
        <f t="array" ref="AE38">COUNTA(VariantAllowances!AE$5:AE$972)-SUM(--_xlfn.ISFORMULA(VariantAllowances!AE$5:AE$972))</f>
        <v>0</v>
      </c>
      <c r="AF38" s="52" cm="1">
        <f t="array" ref="AF38">COUNTA(VariantAllowances!AF$5:AF$972)-SUM(--_xlfn.ISFORMULA(VariantAllowances!AF$5:AF$972))</f>
        <v>0</v>
      </c>
      <c r="AG38" s="52" cm="1">
        <f t="array" ref="AG38">COUNTA(VariantAllowances!AG$5:AG$972)-SUM(--_xlfn.ISFORMULA(VariantAllowances!AG$5:AG$972))</f>
        <v>0</v>
      </c>
      <c r="AH38" s="52" cm="1">
        <f t="array" ref="AH38">COUNTA(VariantAllowances!AH$5:AH$972)-SUM(--_xlfn.ISFORMULA(VariantAllowances!AH$5:AH$972))</f>
        <v>0</v>
      </c>
      <c r="AI38" s="52" cm="1">
        <f t="array" ref="AI38">COUNTA(VariantAllowances!AI$5:AI$972)-SUM(--_xlfn.ISFORMULA(VariantAllowances!AI$5:AI$972))</f>
        <v>0</v>
      </c>
      <c r="AJ38" s="52" cm="1">
        <f t="array" ref="AJ38">COUNTA(VariantAllowances!AJ$5:AJ$972)-SUM(--_xlfn.ISFORMULA(VariantAllowances!AJ$5:AJ$972))</f>
        <v>0</v>
      </c>
      <c r="AK38" s="52" cm="1">
        <f t="array" ref="AK38">COUNTA(VariantAllowances!AK$5:AK$972)-SUM(--_xlfn.ISFORMULA(VariantAllowances!AK$5:AK$972))</f>
        <v>0</v>
      </c>
      <c r="AL38" s="52" cm="1">
        <f t="array" ref="AL38">COUNTA(VariantAllowances!AL$5:AL$972)-SUM(--_xlfn.ISFORMULA(VariantAllowances!AL$5:AL$972))</f>
        <v>0</v>
      </c>
      <c r="AM38" s="52" cm="1">
        <f t="array" ref="AM38">COUNTA(VariantAllowances!AM$5:AM$972)-SUM(--_xlfn.ISFORMULA(VariantAllowances!AM$5:AM$972))</f>
        <v>0</v>
      </c>
      <c r="AN38" s="52" cm="1">
        <f t="array" ref="AN38">COUNTA(VariantAllowances!AN$5:AN$972)-SUM(--_xlfn.ISFORMULA(VariantAllowances!AN$5:AN$972))</f>
        <v>0</v>
      </c>
      <c r="AO38" s="52" cm="1">
        <f t="array" ref="AO38">COUNTA(VariantAllowances!AO$5:AO$972)-SUM(--_xlfn.ISFORMULA(VariantAllowances!AO$5:AO$972))</f>
        <v>0</v>
      </c>
      <c r="AP38" s="52" cm="1">
        <f t="array" ref="AP38">COUNTA(VariantAllowances!AP$5:AP$972)-SUM(--_xlfn.ISFORMULA(VariantAllowances!AP$5:AP$972))</f>
        <v>0</v>
      </c>
      <c r="AQ38" s="52" cm="1">
        <f t="array" ref="AQ38">COUNTA(VariantAllowances!AQ$5:AQ$972)-SUM(--_xlfn.ISFORMULA(VariantAllowances!AQ$5:AQ$972))</f>
        <v>0</v>
      </c>
      <c r="AR38" s="52" cm="1">
        <f t="array" ref="AR38">COUNTA(VariantAllowances!AR$5:AR$972)-SUM(--_xlfn.ISFORMULA(VariantAllowances!AR$5:AR$972))</f>
        <v>0</v>
      </c>
      <c r="AS38" s="52" cm="1">
        <f t="array" ref="AS38">COUNTA(VariantAllowances!AS$5:AS$972)-SUM(--_xlfn.ISFORMULA(VariantAllowances!AS$5:AS$972))</f>
        <v>0</v>
      </c>
      <c r="AT38" s="191" cm="1">
        <f t="array" ref="AT38">COUNTA(VariantAllowances!AT$5:AT$972)-SUM(--_xlfn.ISFORMULA(VariantAllowances!AT$5:AT$972))</f>
        <v>0</v>
      </c>
      <c r="AU38" s="172" cm="1">
        <f t="array" ref="AU38">COUNTA(VariantAllowances!AU$5:AU$972)-SUM(--_xlfn.ISFORMULA(VariantAllowances!AU$5:AU$972))</f>
        <v>0</v>
      </c>
      <c r="AV38" s="52" cm="1">
        <f t="array" ref="AV38">COUNTA(VariantAllowances!AV$5:AV$972)-SUM(--_xlfn.ISFORMULA(VariantAllowances!AV$5:AV$972))</f>
        <v>0</v>
      </c>
      <c r="AW38" s="52" cm="1">
        <f t="array" ref="AW38">COUNTA(VariantAllowances!AW$5:AW$972)-SUM(--_xlfn.ISFORMULA(VariantAllowances!AW$5:AW$972))</f>
        <v>0</v>
      </c>
      <c r="AX38" s="52" cm="1">
        <f t="array" ref="AX38">COUNTA(VariantAllowances!AX$5:AX$972)-SUM(--_xlfn.ISFORMULA(VariantAllowances!AX$5:AX$972))</f>
        <v>0</v>
      </c>
      <c r="AY38" s="52" cm="1">
        <f t="array" ref="AY38">COUNTA(VariantAllowances!AY$5:AY$972)-SUM(--_xlfn.ISFORMULA(VariantAllowances!AY$5:AY$972))</f>
        <v>0</v>
      </c>
    </row>
    <row r="39" spans="1:51" customFormat="1" ht="14.5">
      <c r="E39" t="s">
        <v>498</v>
      </c>
      <c r="I39" s="52" cm="1">
        <f t="array" ref="I39">COUNTA(Transform_TO!I$5:I$513)-SUM(--_xlfn.ISFORMULA(Transform_TO!I$5:I$513))</f>
        <v>0</v>
      </c>
      <c r="K39" s="52" cm="1">
        <f t="array" ref="K39">COUNTA(Transform_TO!K$5:K$513)-SUM(--_xlfn.ISFORMULA(Transform_TO!K$5:K$513))</f>
        <v>0</v>
      </c>
      <c r="L39" s="52" cm="1">
        <f t="array" ref="L39">COUNTA(Transform_TO!L$5:L$513)-SUM(--_xlfn.ISFORMULA(Transform_TO!L$5:L$513))</f>
        <v>0</v>
      </c>
      <c r="M39" s="52" cm="1">
        <f t="array" ref="M39">COUNTA(Transform_TO!M$5:M$513)-SUM(--_xlfn.ISFORMULA(Transform_TO!M$5:M$513))</f>
        <v>0</v>
      </c>
      <c r="N39" s="52" cm="1">
        <f t="array" ref="N39">COUNTA(Transform_TO!N$5:N$513)-SUM(--_xlfn.ISFORMULA(Transform_TO!N$5:N$513))</f>
        <v>0</v>
      </c>
      <c r="O39" s="52" cm="1">
        <f t="array" ref="O39">COUNTA(Transform_TO!O$5:O$513)-SUM(--_xlfn.ISFORMULA(Transform_TO!O$5:O$513))</f>
        <v>0</v>
      </c>
      <c r="P39" s="52" cm="1">
        <f t="array" ref="P39">COUNTA(Transform_TO!P$5:P$513)-SUM(--_xlfn.ISFORMULA(Transform_TO!P$5:P$513))</f>
        <v>0</v>
      </c>
      <c r="Q39" s="52" cm="1">
        <f t="array" ref="Q39">COUNTA(Transform_TO!Q$5:Q$513)-SUM(--_xlfn.ISFORMULA(Transform_TO!Q$5:Q$513))</f>
        <v>0</v>
      </c>
      <c r="R39" s="52" cm="1">
        <f t="array" ref="R39">COUNTA(Transform_TO!R$5:R$513)-SUM(--_xlfn.ISFORMULA(Transform_TO!R$5:R$513))</f>
        <v>0</v>
      </c>
      <c r="S39" s="52" cm="1">
        <f t="array" ref="S39">COUNTA(Transform_TO!S$5:S$513)-SUM(--_xlfn.ISFORMULA(Transform_TO!S$5:S$513))</f>
        <v>0</v>
      </c>
      <c r="T39" s="52" cm="1">
        <f t="array" ref="T39">COUNTA(Transform_TO!T$5:T$513)-SUM(--_xlfn.ISFORMULA(Transform_TO!T$5:T$513))</f>
        <v>0</v>
      </c>
      <c r="U39" s="52" cm="1">
        <f t="array" ref="U39">COUNTA(Transform_TO!U$5:U$513)-SUM(--_xlfn.ISFORMULA(Transform_TO!U$5:U$513))</f>
        <v>0</v>
      </c>
      <c r="V39" s="52" cm="1">
        <f t="array" ref="V39">COUNTA(Transform_TO!V$5:V$513)-SUM(--_xlfn.ISFORMULA(Transform_TO!V$5:V$513))</f>
        <v>0</v>
      </c>
      <c r="W39" s="52" cm="1">
        <f t="array" ref="W39">COUNTA(Transform_TO!W$5:W$513)-SUM(--_xlfn.ISFORMULA(Transform_TO!W$5:W$513))</f>
        <v>0</v>
      </c>
      <c r="X39" s="52" cm="1">
        <f t="array" ref="X39">COUNTA(Transform_TO!X$5:X$513)-SUM(--_xlfn.ISFORMULA(Transform_TO!X$5:X$513))</f>
        <v>0</v>
      </c>
      <c r="Y39" s="52" cm="1">
        <f t="array" ref="Y39">COUNTA(Transform_TO!Y$5:Y$513)-SUM(--_xlfn.ISFORMULA(Transform_TO!Y$5:Y$513))</f>
        <v>0</v>
      </c>
      <c r="Z39" s="52" cm="1">
        <f t="array" ref="Z39">COUNTA(Transform_TO!Z$5:Z$513)-SUM(--_xlfn.ISFORMULA(Transform_TO!Z$5:Z$513))</f>
        <v>0</v>
      </c>
      <c r="AA39" s="52" cm="1">
        <f t="array" ref="AA39">COUNTA(Transform_TO!AA$5:AA$513)-SUM(--_xlfn.ISFORMULA(Transform_TO!AA$5:AA$513))</f>
        <v>0</v>
      </c>
      <c r="AB39" s="52" cm="1">
        <f t="array" ref="AB39">COUNTA(Transform_TO!AB$5:AB$513)-SUM(--_xlfn.ISFORMULA(Transform_TO!AB$5:AB$513))</f>
        <v>0</v>
      </c>
      <c r="AC39" s="52" cm="1">
        <f t="array" ref="AC39">COUNTA(Transform_TO!AC$5:AC$513)-SUM(--_xlfn.ISFORMULA(Transform_TO!AC$5:AC$513))</f>
        <v>0</v>
      </c>
      <c r="AD39" s="52" cm="1">
        <f t="array" ref="AD39">COUNTA(Transform_TO!AD$5:AD$513)-SUM(--_xlfn.ISFORMULA(Transform_TO!AD$5:AD$513))</f>
        <v>0</v>
      </c>
      <c r="AE39" s="52" cm="1">
        <f t="array" ref="AE39">COUNTA(Transform_TO!AE$5:AE$513)-SUM(--_xlfn.ISFORMULA(Transform_TO!AE$5:AE$513))</f>
        <v>0</v>
      </c>
      <c r="AF39" s="52" cm="1">
        <f t="array" ref="AF39">COUNTA(Transform_TO!AF$5:AF$513)-SUM(--_xlfn.ISFORMULA(Transform_TO!AF$5:AF$513))</f>
        <v>0</v>
      </c>
      <c r="AG39" s="52" cm="1">
        <f t="array" ref="AG39">COUNTA(Transform_TO!AG$5:AG$513)-SUM(--_xlfn.ISFORMULA(Transform_TO!AG$5:AG$513))</f>
        <v>0</v>
      </c>
      <c r="AH39" s="52" cm="1">
        <f t="array" ref="AH39">COUNTA(Transform_TO!AH$5:AH$513)-SUM(--_xlfn.ISFORMULA(Transform_TO!AH$5:AH$513))</f>
        <v>0</v>
      </c>
      <c r="AI39" s="52" cm="1">
        <f t="array" ref="AI39">COUNTA(Transform_TO!AI$5:AI$513)-SUM(--_xlfn.ISFORMULA(Transform_TO!AI$5:AI$513))</f>
        <v>0</v>
      </c>
      <c r="AJ39" s="52" cm="1">
        <f t="array" ref="AJ39">COUNTA(Transform_TO!AJ$5:AJ$513)-SUM(--_xlfn.ISFORMULA(Transform_TO!AJ$5:AJ$513))</f>
        <v>0</v>
      </c>
      <c r="AK39" s="52" cm="1">
        <f t="array" ref="AK39">COUNTA(Transform_TO!AK$5:AK$513)-SUM(--_xlfn.ISFORMULA(Transform_TO!AK$5:AK$513))</f>
        <v>0</v>
      </c>
      <c r="AL39" s="52" cm="1">
        <f t="array" ref="AL39">COUNTA(Transform_TO!AL$5:AL$513)-SUM(--_xlfn.ISFORMULA(Transform_TO!AL$5:AL$513))</f>
        <v>0</v>
      </c>
      <c r="AM39" s="52" cm="1">
        <f t="array" ref="AM39">COUNTA(Transform_TO!AM$5:AM$513)-SUM(--_xlfn.ISFORMULA(Transform_TO!AM$5:AM$513))</f>
        <v>0</v>
      </c>
      <c r="AN39" s="52" cm="1">
        <f t="array" ref="AN39">COUNTA(Transform_TO!AN$5:AN$513)-SUM(--_xlfn.ISFORMULA(Transform_TO!AN$5:AN$513))</f>
        <v>0</v>
      </c>
      <c r="AO39" s="52" cm="1">
        <f t="array" ref="AO39">COUNTA(Transform_TO!AO$5:AO$513)-SUM(--_xlfn.ISFORMULA(Transform_TO!AO$5:AO$513))</f>
        <v>0</v>
      </c>
      <c r="AP39" s="52" cm="1">
        <f t="array" ref="AP39">COUNTA(Transform_TO!AP$5:AP$513)-SUM(--_xlfn.ISFORMULA(Transform_TO!AP$5:AP$513))</f>
        <v>0</v>
      </c>
      <c r="AQ39" s="52" cm="1">
        <f t="array" ref="AQ39">COUNTA(Transform_TO!AQ$5:AQ$513)-SUM(--_xlfn.ISFORMULA(Transform_TO!AQ$5:AQ$513))</f>
        <v>0</v>
      </c>
      <c r="AR39" s="52" cm="1">
        <f t="array" ref="AR39">COUNTA(Transform_TO!AR$5:AR$513)-SUM(--_xlfn.ISFORMULA(Transform_TO!AR$5:AR$513))</f>
        <v>0</v>
      </c>
      <c r="AS39" s="52" cm="1">
        <f t="array" ref="AS39">COUNTA(Transform_TO!AS$5:AS$513)-SUM(--_xlfn.ISFORMULA(Transform_TO!AS$5:AS$513))</f>
        <v>0</v>
      </c>
      <c r="AT39" s="191" cm="1">
        <f t="array" ref="AT39">COUNTA(Transform_TO!AT$5:AT$513)-SUM(--_xlfn.ISFORMULA(Transform_TO!AT$5:AT$513))</f>
        <v>0</v>
      </c>
      <c r="AU39" s="172" cm="1">
        <f t="array" ref="AU39">COUNTA(Transform_TO!AU$5:AU$513)-SUM(--_xlfn.ISFORMULA(Transform_TO!AU$5:AU$513))</f>
        <v>0</v>
      </c>
      <c r="AV39" s="52" cm="1">
        <f t="array" ref="AV39">COUNTA(Transform_TO!AV$5:AV$513)-SUM(--_xlfn.ISFORMULA(Transform_TO!AV$5:AV$513))</f>
        <v>0</v>
      </c>
      <c r="AW39" s="52" cm="1">
        <f t="array" ref="AW39">COUNTA(Transform_TO!AW$5:AW$513)-SUM(--_xlfn.ISFORMULA(Transform_TO!AW$5:AW$513))</f>
        <v>0</v>
      </c>
      <c r="AX39" s="52" cm="1">
        <f t="array" ref="AX39">COUNTA(Transform_TO!AX$5:AX$513)-SUM(--_xlfn.ISFORMULA(Transform_TO!AX$5:AX$513))</f>
        <v>0</v>
      </c>
      <c r="AY39" s="52" cm="1">
        <f t="array" ref="AY39">COUNTA(Transform_TO!AY$5:AY$513)-SUM(--_xlfn.ISFORMULA(Transform_TO!AY$5:AY$513))</f>
        <v>0</v>
      </c>
    </row>
    <row r="40" spans="1:51" customFormat="1" ht="14.5">
      <c r="E40" t="s">
        <v>503</v>
      </c>
      <c r="I40" s="52" cm="1">
        <f t="array" ref="I40">COUNTA(Transform_SO!I$5:I$213)-SUM(--_xlfn.ISFORMULA(Transform_SO!I$5:I$213))</f>
        <v>0</v>
      </c>
      <c r="K40" s="52" cm="1">
        <f t="array" ref="K40">COUNTA(Transform_SO!K$5:K$213)-SUM(--_xlfn.ISFORMULA(Transform_SO!K$5:K$213))</f>
        <v>0</v>
      </c>
      <c r="L40" s="52" cm="1">
        <f t="array" ref="L40">COUNTA(Transform_SO!L$5:L$213)-SUM(--_xlfn.ISFORMULA(Transform_SO!L$5:L$213))</f>
        <v>0</v>
      </c>
      <c r="M40" s="52" cm="1">
        <f t="array" ref="M40">COUNTA(Transform_SO!M$5:M$213)-SUM(--_xlfn.ISFORMULA(Transform_SO!M$5:M$213))</f>
        <v>0</v>
      </c>
      <c r="N40" s="52" cm="1">
        <f t="array" ref="N40">COUNTA(Transform_SO!N$5:N$213)-SUM(--_xlfn.ISFORMULA(Transform_SO!N$5:N$213))</f>
        <v>0</v>
      </c>
      <c r="O40" s="52" cm="1">
        <f t="array" ref="O40">COUNTA(Transform_SO!O$5:O$213)-SUM(--_xlfn.ISFORMULA(Transform_SO!O$5:O$213))</f>
        <v>0</v>
      </c>
      <c r="P40" s="52" cm="1">
        <f t="array" ref="P40">COUNTA(Transform_SO!P$5:P$213)-SUM(--_xlfn.ISFORMULA(Transform_SO!P$5:P$213))</f>
        <v>0</v>
      </c>
      <c r="Q40" s="52" cm="1">
        <f t="array" ref="Q40">COUNTA(Transform_SO!Q$5:Q$213)-SUM(--_xlfn.ISFORMULA(Transform_SO!Q$5:Q$213))</f>
        <v>0</v>
      </c>
      <c r="R40" s="52" cm="1">
        <f t="array" ref="R40">COUNTA(Transform_SO!R$5:R$213)-SUM(--_xlfn.ISFORMULA(Transform_SO!R$5:R$213))</f>
        <v>0</v>
      </c>
      <c r="S40" s="52" cm="1">
        <f t="array" ref="S40">COUNTA(Transform_SO!S$5:S$213)-SUM(--_xlfn.ISFORMULA(Transform_SO!S$5:S$213))</f>
        <v>0</v>
      </c>
      <c r="T40" s="52" cm="1">
        <f t="array" ref="T40">COUNTA(Transform_SO!T$5:T$213)-SUM(--_xlfn.ISFORMULA(Transform_SO!T$5:T$213))</f>
        <v>0</v>
      </c>
      <c r="U40" s="52" cm="1">
        <f t="array" ref="U40">COUNTA(Transform_SO!U$5:U$213)-SUM(--_xlfn.ISFORMULA(Transform_SO!U$5:U$213))</f>
        <v>0</v>
      </c>
      <c r="V40" s="52" cm="1">
        <f t="array" ref="V40">COUNTA(Transform_SO!V$5:V$213)-SUM(--_xlfn.ISFORMULA(Transform_SO!V$5:V$213))</f>
        <v>0</v>
      </c>
      <c r="W40" s="52" cm="1">
        <f t="array" ref="W40">COUNTA(Transform_SO!W$5:W$213)-SUM(--_xlfn.ISFORMULA(Transform_SO!W$5:W$213))</f>
        <v>0</v>
      </c>
      <c r="X40" s="52" cm="1">
        <f t="array" ref="X40">COUNTA(Transform_SO!X$5:X$213)-SUM(--_xlfn.ISFORMULA(Transform_SO!X$5:X$213))</f>
        <v>0</v>
      </c>
      <c r="Y40" s="52" cm="1">
        <f t="array" ref="Y40">COUNTA(Transform_SO!Y$5:Y$213)-SUM(--_xlfn.ISFORMULA(Transform_SO!Y$5:Y$213))</f>
        <v>0</v>
      </c>
      <c r="Z40" s="52" cm="1">
        <f t="array" ref="Z40">COUNTA(Transform_SO!Z$5:Z$213)-SUM(--_xlfn.ISFORMULA(Transform_SO!Z$5:Z$213))</f>
        <v>0</v>
      </c>
      <c r="AA40" s="52" cm="1">
        <f t="array" ref="AA40">COUNTA(Transform_SO!AA$5:AA$213)-SUM(--_xlfn.ISFORMULA(Transform_SO!AA$5:AA$213))</f>
        <v>0</v>
      </c>
      <c r="AB40" s="52" cm="1">
        <f t="array" ref="AB40">COUNTA(Transform_SO!AB$5:AB$213)-SUM(--_xlfn.ISFORMULA(Transform_SO!AB$5:AB$213))</f>
        <v>0</v>
      </c>
      <c r="AC40" s="52" cm="1">
        <f t="array" ref="AC40">COUNTA(Transform_SO!AC$5:AC$213)-SUM(--_xlfn.ISFORMULA(Transform_SO!AC$5:AC$213))</f>
        <v>0</v>
      </c>
      <c r="AD40" s="52" cm="1">
        <f t="array" ref="AD40">COUNTA(Transform_SO!AD$5:AD$213)-SUM(--_xlfn.ISFORMULA(Transform_SO!AD$5:AD$213))</f>
        <v>0</v>
      </c>
      <c r="AE40" s="52" cm="1">
        <f t="array" ref="AE40">COUNTA(Transform_SO!AE$5:AE$213)-SUM(--_xlfn.ISFORMULA(Transform_SO!AE$5:AE$213))</f>
        <v>0</v>
      </c>
      <c r="AF40" s="52" cm="1">
        <f t="array" ref="AF40">COUNTA(Transform_SO!AF$5:AF$213)-SUM(--_xlfn.ISFORMULA(Transform_SO!AF$5:AF$213))</f>
        <v>0</v>
      </c>
      <c r="AG40" s="52" cm="1">
        <f t="array" ref="AG40">COUNTA(Transform_SO!AG$5:AG$213)-SUM(--_xlfn.ISFORMULA(Transform_SO!AG$5:AG$213))</f>
        <v>0</v>
      </c>
      <c r="AH40" s="52" cm="1">
        <f t="array" ref="AH40">COUNTA(Transform_SO!AH$5:AH$213)-SUM(--_xlfn.ISFORMULA(Transform_SO!AH$5:AH$213))</f>
        <v>0</v>
      </c>
      <c r="AI40" s="52" cm="1">
        <f t="array" ref="AI40">COUNTA(Transform_SO!AI$5:AI$213)-SUM(--_xlfn.ISFORMULA(Transform_SO!AI$5:AI$213))</f>
        <v>0</v>
      </c>
      <c r="AJ40" s="52" cm="1">
        <f t="array" ref="AJ40">COUNTA(Transform_SO!AJ$5:AJ$213)-SUM(--_xlfn.ISFORMULA(Transform_SO!AJ$5:AJ$213))</f>
        <v>0</v>
      </c>
      <c r="AK40" s="52" cm="1">
        <f t="array" ref="AK40">COUNTA(Transform_SO!AK$5:AK$213)-SUM(--_xlfn.ISFORMULA(Transform_SO!AK$5:AK$213))</f>
        <v>0</v>
      </c>
      <c r="AL40" s="52" cm="1">
        <f t="array" ref="AL40">COUNTA(Transform_SO!AL$5:AL$213)-SUM(--_xlfn.ISFORMULA(Transform_SO!AL$5:AL$213))</f>
        <v>0</v>
      </c>
      <c r="AM40" s="52" cm="1">
        <f t="array" ref="AM40">COUNTA(Transform_SO!AM$5:AM$213)-SUM(--_xlfn.ISFORMULA(Transform_SO!AM$5:AM$213))</f>
        <v>0</v>
      </c>
      <c r="AN40" s="52" cm="1">
        <f t="array" ref="AN40">COUNTA(Transform_SO!AN$5:AN$213)-SUM(--_xlfn.ISFORMULA(Transform_SO!AN$5:AN$213))</f>
        <v>0</v>
      </c>
      <c r="AO40" s="52" cm="1">
        <f t="array" ref="AO40">COUNTA(Transform_SO!AO$5:AO$213)-SUM(--_xlfn.ISFORMULA(Transform_SO!AO$5:AO$213))</f>
        <v>0</v>
      </c>
      <c r="AP40" s="52" cm="1">
        <f t="array" ref="AP40">COUNTA(Transform_SO!AP$5:AP$213)-SUM(--_xlfn.ISFORMULA(Transform_SO!AP$5:AP$213))</f>
        <v>0</v>
      </c>
      <c r="AQ40" s="52" cm="1">
        <f t="array" ref="AQ40">COUNTA(Transform_SO!AQ$5:AQ$213)-SUM(--_xlfn.ISFORMULA(Transform_SO!AQ$5:AQ$213))</f>
        <v>0</v>
      </c>
      <c r="AR40" s="52" cm="1">
        <f t="array" ref="AR40">COUNTA(Transform_SO!AR$5:AR$213)-SUM(--_xlfn.ISFORMULA(Transform_SO!AR$5:AR$213))</f>
        <v>0</v>
      </c>
      <c r="AS40" s="52" cm="1">
        <f t="array" ref="AS40">COUNTA(Transform_SO!AS$5:AS$213)-SUM(--_xlfn.ISFORMULA(Transform_SO!AS$5:AS$213))</f>
        <v>0</v>
      </c>
      <c r="AT40" s="191" cm="1">
        <f t="array" ref="AT40">COUNTA(Transform_SO!AT$5:AT$213)-SUM(--_xlfn.ISFORMULA(Transform_SO!AT$5:AT$213))</f>
        <v>0</v>
      </c>
      <c r="AU40" s="172" cm="1">
        <f t="array" ref="AU40">COUNTA(Transform_SO!AU$5:AU$213)-SUM(--_xlfn.ISFORMULA(Transform_SO!AU$5:AU$213))</f>
        <v>0</v>
      </c>
      <c r="AV40" s="52" cm="1">
        <f t="array" ref="AV40">COUNTA(Transform_SO!AV$5:AV$213)-SUM(--_xlfn.ISFORMULA(Transform_SO!AV$5:AV$213))</f>
        <v>0</v>
      </c>
      <c r="AW40" s="52" cm="1">
        <f t="array" ref="AW40">COUNTA(Transform_SO!AW$5:AW$213)-SUM(--_xlfn.ISFORMULA(Transform_SO!AW$5:AW$213))</f>
        <v>0</v>
      </c>
      <c r="AX40" s="52" cm="1">
        <f t="array" ref="AX40">COUNTA(Transform_SO!AX$5:AX$213)-SUM(--_xlfn.ISFORMULA(Transform_SO!AX$5:AX$213))</f>
        <v>0</v>
      </c>
      <c r="AY40" s="52" cm="1">
        <f t="array" ref="AY40">COUNTA(Transform_SO!AY$5:AY$213)-SUM(--_xlfn.ISFORMULA(Transform_SO!AY$5:AY$213))</f>
        <v>0</v>
      </c>
    </row>
    <row r="41" spans="1:51" customFormat="1" ht="14.5">
      <c r="E41" t="s">
        <v>147</v>
      </c>
      <c r="I41" s="52" cm="1">
        <f t="array" ref="I41">COUNTA(Totex!I$5:I$200)-SUM(--_xlfn.ISFORMULA(Totex!I$5:I$200))</f>
        <v>0</v>
      </c>
      <c r="K41" s="52" cm="1">
        <f t="array" ref="K41">COUNTA(Totex!K$5:K$200)-SUM(--_xlfn.ISFORMULA(Totex!K$5:K$200))</f>
        <v>0</v>
      </c>
      <c r="L41" s="52" cm="1">
        <f t="array" ref="L41">COUNTA(Totex!L$5:L$200)-SUM(--_xlfn.ISFORMULA(Totex!L$5:L$200))</f>
        <v>0</v>
      </c>
      <c r="M41" s="52" cm="1">
        <f t="array" ref="M41">COUNTA(Totex!M$5:M$200)-SUM(--_xlfn.ISFORMULA(Totex!M$5:M$200))</f>
        <v>0</v>
      </c>
      <c r="N41" s="52" cm="1">
        <f t="array" ref="N41">COUNTA(Totex!N$5:N$200)-SUM(--_xlfn.ISFORMULA(Totex!N$5:N$200))</f>
        <v>0</v>
      </c>
      <c r="O41" s="52" cm="1">
        <f t="array" ref="O41">COUNTA(Totex!O$5:O$200)-SUM(--_xlfn.ISFORMULA(Totex!O$5:O$200))</f>
        <v>0</v>
      </c>
      <c r="P41" s="52" cm="1">
        <f t="array" ref="P41">COUNTA(Totex!P$5:P$200)-SUM(--_xlfn.ISFORMULA(Totex!P$5:P$200))</f>
        <v>0</v>
      </c>
      <c r="Q41" s="52" cm="1">
        <f t="array" ref="Q41">COUNTA(Totex!Q$5:Q$200)-SUM(--_xlfn.ISFORMULA(Totex!Q$5:Q$200))</f>
        <v>0</v>
      </c>
      <c r="R41" s="52" cm="1">
        <f t="array" ref="R41">COUNTA(Totex!R$5:R$200)-SUM(--_xlfn.ISFORMULA(Totex!R$5:R$200))</f>
        <v>0</v>
      </c>
      <c r="S41" s="52" cm="1">
        <f t="array" ref="S41">COUNTA(Totex!S$5:S$200)-SUM(--_xlfn.ISFORMULA(Totex!S$5:S$200))</f>
        <v>0</v>
      </c>
      <c r="T41" s="52" cm="1">
        <f t="array" ref="T41">COUNTA(Totex!T$5:T$200)-SUM(--_xlfn.ISFORMULA(Totex!T$5:T$200))</f>
        <v>0</v>
      </c>
      <c r="U41" s="52" cm="1">
        <f t="array" ref="U41">COUNTA(Totex!U$5:U$200)-SUM(--_xlfn.ISFORMULA(Totex!U$5:U$200))</f>
        <v>0</v>
      </c>
      <c r="V41" s="52" cm="1">
        <f t="array" ref="V41">COUNTA(Totex!V$5:V$200)-SUM(--_xlfn.ISFORMULA(Totex!V$5:V$200))</f>
        <v>0</v>
      </c>
      <c r="W41" s="52" cm="1">
        <f t="array" ref="W41">COUNTA(Totex!W$5:W$200)-SUM(--_xlfn.ISFORMULA(Totex!W$5:W$200))</f>
        <v>0</v>
      </c>
      <c r="X41" s="52" cm="1">
        <f t="array" ref="X41">COUNTA(Totex!X$5:X$200)-SUM(--_xlfn.ISFORMULA(Totex!X$5:X$200))</f>
        <v>0</v>
      </c>
      <c r="Y41" s="52" cm="1">
        <f t="array" ref="Y41">COUNTA(Totex!Y$5:Y$200)-SUM(--_xlfn.ISFORMULA(Totex!Y$5:Y$200))</f>
        <v>0</v>
      </c>
      <c r="Z41" s="52" cm="1">
        <f t="array" ref="Z41">COUNTA(Totex!Z$5:Z$200)-SUM(--_xlfn.ISFORMULA(Totex!Z$5:Z$200))</f>
        <v>0</v>
      </c>
      <c r="AA41" s="52" cm="1">
        <f t="array" ref="AA41">COUNTA(Totex!AA$5:AA$200)-SUM(--_xlfn.ISFORMULA(Totex!AA$5:AA$200))</f>
        <v>0</v>
      </c>
      <c r="AB41" s="52" cm="1">
        <f t="array" ref="AB41">COUNTA(Totex!AB$5:AB$200)-SUM(--_xlfn.ISFORMULA(Totex!AB$5:AB$200))</f>
        <v>0</v>
      </c>
      <c r="AC41" s="52" cm="1">
        <f t="array" ref="AC41">COUNTA(Totex!AC$5:AC$200)-SUM(--_xlfn.ISFORMULA(Totex!AC$5:AC$200))</f>
        <v>0</v>
      </c>
      <c r="AD41" s="52" cm="1">
        <f t="array" ref="AD41">COUNTA(Totex!AD$5:AD$200)-SUM(--_xlfn.ISFORMULA(Totex!AD$5:AD$200))</f>
        <v>0</v>
      </c>
      <c r="AE41" s="52" cm="1">
        <f t="array" ref="AE41">COUNTA(Totex!AE$5:AE$200)-SUM(--_xlfn.ISFORMULA(Totex!AE$5:AE$200))</f>
        <v>0</v>
      </c>
      <c r="AF41" s="52" cm="1">
        <f t="array" ref="AF41">COUNTA(Totex!AF$5:AF$200)-SUM(--_xlfn.ISFORMULA(Totex!AF$5:AF$200))</f>
        <v>0</v>
      </c>
      <c r="AG41" s="52" cm="1">
        <f t="array" ref="AG41">COUNTA(Totex!AG$5:AG$200)-SUM(--_xlfn.ISFORMULA(Totex!AG$5:AG$200))</f>
        <v>0</v>
      </c>
      <c r="AH41" s="52" cm="1">
        <f t="array" ref="AH41">COUNTA(Totex!AH$5:AH$200)-SUM(--_xlfn.ISFORMULA(Totex!AH$5:AH$200))</f>
        <v>0</v>
      </c>
      <c r="AI41" s="52" cm="1">
        <f t="array" ref="AI41">COUNTA(Totex!AI$5:AI$200)-SUM(--_xlfn.ISFORMULA(Totex!AI$5:AI$200))</f>
        <v>0</v>
      </c>
      <c r="AJ41" s="52" cm="1">
        <f t="array" ref="AJ41">COUNTA(Totex!AJ$5:AJ$200)-SUM(--_xlfn.ISFORMULA(Totex!AJ$5:AJ$200))</f>
        <v>0</v>
      </c>
      <c r="AK41" s="52" cm="1">
        <f t="array" ref="AK41">COUNTA(Totex!AK$5:AK$200)-SUM(--_xlfn.ISFORMULA(Totex!AK$5:AK$200))</f>
        <v>0</v>
      </c>
      <c r="AL41" s="52" cm="1">
        <f t="array" ref="AL41">COUNTA(Totex!AL$5:AL$200)-SUM(--_xlfn.ISFORMULA(Totex!AL$5:AL$200))</f>
        <v>0</v>
      </c>
      <c r="AM41" s="52" cm="1">
        <f t="array" ref="AM41">COUNTA(Totex!AM$5:AM$200)-SUM(--_xlfn.ISFORMULA(Totex!AM$5:AM$200))</f>
        <v>0</v>
      </c>
      <c r="AN41" s="52" cm="1">
        <f t="array" ref="AN41">COUNTA(Totex!AN$5:AN$200)-SUM(--_xlfn.ISFORMULA(Totex!AN$5:AN$200))</f>
        <v>0</v>
      </c>
      <c r="AO41" s="52" cm="1">
        <f t="array" ref="AO41">COUNTA(Totex!AO$5:AO$200)-SUM(--_xlfn.ISFORMULA(Totex!AO$5:AO$200))</f>
        <v>0</v>
      </c>
      <c r="AP41" s="52" cm="1">
        <f t="array" ref="AP41">COUNTA(Totex!AP$5:AP$200)-SUM(--_xlfn.ISFORMULA(Totex!AP$5:AP$200))</f>
        <v>0</v>
      </c>
      <c r="AQ41" s="52" cm="1">
        <f t="array" ref="AQ41">COUNTA(Totex!AQ$5:AQ$200)-SUM(--_xlfn.ISFORMULA(Totex!AQ$5:AQ$200))</f>
        <v>0</v>
      </c>
      <c r="AR41" s="52" cm="1">
        <f t="array" ref="AR41">COUNTA(Totex!AR$5:AR$200)-SUM(--_xlfn.ISFORMULA(Totex!AR$5:AR$200))</f>
        <v>0</v>
      </c>
      <c r="AS41" s="52" cm="1">
        <f t="array" ref="AS41">COUNTA(Totex!AS$5:AS$200)-SUM(--_xlfn.ISFORMULA(Totex!AS$5:AS$200))</f>
        <v>0</v>
      </c>
      <c r="AT41" s="191" cm="1">
        <f t="array" ref="AT41">COUNTA(Totex!AT$5:AT$200)-SUM(--_xlfn.ISFORMULA(Totex!AT$5:AT$200))</f>
        <v>0</v>
      </c>
      <c r="AU41" s="172" cm="1">
        <f t="array" ref="AU41">COUNTA(Totex!AU$5:AU$200)-SUM(--_xlfn.ISFORMULA(Totex!AU$5:AU$200))</f>
        <v>0</v>
      </c>
      <c r="AV41" s="52" cm="1">
        <f t="array" ref="AV41">COUNTA(Totex!AV$5:AV$200)-SUM(--_xlfn.ISFORMULA(Totex!AV$5:AV$200))</f>
        <v>0</v>
      </c>
      <c r="AW41" s="52" cm="1">
        <f t="array" ref="AW41">COUNTA(Totex!AW$5:AW$200)-SUM(--_xlfn.ISFORMULA(Totex!AW$5:AW$200))</f>
        <v>0</v>
      </c>
      <c r="AX41" s="52" cm="1">
        <f t="array" ref="AX41">COUNTA(Totex!AX$5:AX$200)-SUM(--_xlfn.ISFORMULA(Totex!AX$5:AX$200))</f>
        <v>0</v>
      </c>
      <c r="AY41" s="52" cm="1">
        <f t="array" ref="AY41">COUNTA(Totex!AY$5:AY$200)-SUM(--_xlfn.ISFORMULA(Totex!AY$5:AY$200))</f>
        <v>0</v>
      </c>
    </row>
    <row r="42" spans="1:51" customFormat="1" ht="14.5">
      <c r="E42" t="s">
        <v>60</v>
      </c>
      <c r="I42" s="137" cm="1">
        <f t="array" ref="I42">COUNTA(TIM!I$5:I$200)-SUM(--_xlfn.ISFORMULA(TIM!I$5:I$200))</f>
        <v>0</v>
      </c>
      <c r="K42" s="52" cm="1">
        <f t="array" ref="K42">COUNTA(TIM!K$5:K$200)-SUM(--_xlfn.ISFORMULA(TIM!K$5:K$200))</f>
        <v>0</v>
      </c>
      <c r="L42" s="52" cm="1">
        <f t="array" ref="L42">COUNTA(TIM!L$5:L$200)-SUM(--_xlfn.ISFORMULA(TIM!L$5:L$200))</f>
        <v>0</v>
      </c>
      <c r="M42" s="52" cm="1">
        <f t="array" ref="M42">COUNTA(TIM!M$5:M$200)-SUM(--_xlfn.ISFORMULA(TIM!M$5:M$200))</f>
        <v>0</v>
      </c>
      <c r="N42" s="52" cm="1">
        <f t="array" ref="N42">COUNTA(TIM!N$5:N$200)-SUM(--_xlfn.ISFORMULA(TIM!N$5:N$200))</f>
        <v>0</v>
      </c>
      <c r="O42" s="52" cm="1">
        <f t="array" ref="O42">COUNTA(TIM!O$5:O$200)-SUM(--_xlfn.ISFORMULA(TIM!O$5:O$200))</f>
        <v>0</v>
      </c>
      <c r="P42" s="52" cm="1">
        <f t="array" ref="P42">COUNTA(TIM!P$5:P$200)-SUM(--_xlfn.ISFORMULA(TIM!P$5:P$200))</f>
        <v>0</v>
      </c>
      <c r="Q42" s="52" cm="1">
        <f t="array" ref="Q42">COUNTA(TIM!Q$5:Q$200)-SUM(--_xlfn.ISFORMULA(TIM!Q$5:Q$200))</f>
        <v>0</v>
      </c>
      <c r="R42" s="52" cm="1">
        <f t="array" ref="R42">COUNTA(TIM!R$5:R$200)-SUM(--_xlfn.ISFORMULA(TIM!R$5:R$200))</f>
        <v>0</v>
      </c>
      <c r="S42" s="52" cm="1">
        <f t="array" ref="S42">COUNTA(TIM!S$5:S$200)-SUM(--_xlfn.ISFORMULA(TIM!S$5:S$200))</f>
        <v>0</v>
      </c>
      <c r="T42" s="52" cm="1">
        <f t="array" ref="T42">COUNTA(TIM!T$5:T$200)-SUM(--_xlfn.ISFORMULA(TIM!T$5:T$200))</f>
        <v>0</v>
      </c>
      <c r="U42" s="52" cm="1">
        <f t="array" ref="U42">COUNTA(TIM!U$5:U$200)-SUM(--_xlfn.ISFORMULA(TIM!U$5:U$200))</f>
        <v>0</v>
      </c>
      <c r="V42" s="52" cm="1">
        <f t="array" ref="V42">COUNTA(TIM!V$5:V$200)-SUM(--_xlfn.ISFORMULA(TIM!V$5:V$200))</f>
        <v>0</v>
      </c>
      <c r="W42" s="52" cm="1">
        <f t="array" ref="W42">COUNTA(TIM!W$5:W$200)-SUM(--_xlfn.ISFORMULA(TIM!W$5:W$200))</f>
        <v>0</v>
      </c>
      <c r="X42" s="52" cm="1">
        <f t="array" ref="X42">COUNTA(TIM!X$5:X$200)-SUM(--_xlfn.ISFORMULA(TIM!X$5:X$200))</f>
        <v>0</v>
      </c>
      <c r="Y42" s="52" cm="1">
        <f t="array" ref="Y42">COUNTA(TIM!Y$5:Y$200)-SUM(--_xlfn.ISFORMULA(TIM!Y$5:Y$200))</f>
        <v>0</v>
      </c>
      <c r="Z42" s="52" cm="1">
        <f t="array" ref="Z42">COUNTA(TIM!Z$5:Z$200)-SUM(--_xlfn.ISFORMULA(TIM!Z$5:Z$200))</f>
        <v>0</v>
      </c>
      <c r="AA42" s="52" cm="1">
        <f t="array" ref="AA42">COUNTA(TIM!AA$5:AA$200)-SUM(--_xlfn.ISFORMULA(TIM!AA$5:AA$200))</f>
        <v>0</v>
      </c>
      <c r="AB42" s="52" cm="1">
        <f t="array" ref="AB42">COUNTA(TIM!AB$5:AB$200)-SUM(--_xlfn.ISFORMULA(TIM!AB$5:AB$200))</f>
        <v>0</v>
      </c>
      <c r="AC42" s="52" cm="1">
        <f t="array" ref="AC42">COUNTA(TIM!AC$5:AC$200)-SUM(--_xlfn.ISFORMULA(TIM!AC$5:AC$200))</f>
        <v>0</v>
      </c>
      <c r="AD42" s="52" cm="1">
        <f t="array" ref="AD42">COUNTA(TIM!AD$5:AD$200)-SUM(--_xlfn.ISFORMULA(TIM!AD$5:AD$200))</f>
        <v>0</v>
      </c>
      <c r="AE42" s="52" cm="1">
        <f t="array" ref="AE42">COUNTA(TIM!AE$5:AE$200)-SUM(--_xlfn.ISFORMULA(TIM!AE$5:AE$200))</f>
        <v>0</v>
      </c>
      <c r="AF42" s="52" cm="1">
        <f t="array" ref="AF42">COUNTA(TIM!AF$5:AF$200)-SUM(--_xlfn.ISFORMULA(TIM!AF$5:AF$200))</f>
        <v>0</v>
      </c>
      <c r="AG42" s="52" cm="1">
        <f t="array" ref="AG42">COUNTA(TIM!AG$5:AG$200)-SUM(--_xlfn.ISFORMULA(TIM!AG$5:AG$200))</f>
        <v>0</v>
      </c>
      <c r="AH42" s="52" cm="1">
        <f t="array" ref="AH42">COUNTA(TIM!AH$5:AH$200)-SUM(--_xlfn.ISFORMULA(TIM!AH$5:AH$200))</f>
        <v>0</v>
      </c>
      <c r="AI42" s="52" cm="1">
        <f t="array" ref="AI42">COUNTA(TIM!AI$5:AI$200)-SUM(--_xlfn.ISFORMULA(TIM!AI$5:AI$200))</f>
        <v>0</v>
      </c>
      <c r="AJ42" s="52" cm="1">
        <f t="array" ref="AJ42">COUNTA(TIM!AJ$5:AJ$200)-SUM(--_xlfn.ISFORMULA(TIM!AJ$5:AJ$200))</f>
        <v>0</v>
      </c>
      <c r="AK42" s="52" cm="1">
        <f t="array" ref="AK42">COUNTA(TIM!AK$5:AK$200)-SUM(--_xlfn.ISFORMULA(TIM!AK$5:AK$200))</f>
        <v>0</v>
      </c>
      <c r="AL42" s="52" cm="1">
        <f t="array" ref="AL42">COUNTA(TIM!AL$5:AL$200)-SUM(--_xlfn.ISFORMULA(TIM!AL$5:AL$200))</f>
        <v>0</v>
      </c>
      <c r="AM42" s="52" cm="1">
        <f t="array" ref="AM42">COUNTA(TIM!AM$5:AM$200)-SUM(--_xlfn.ISFORMULA(TIM!AM$5:AM$200))</f>
        <v>0</v>
      </c>
      <c r="AN42" s="52" cm="1">
        <f t="array" ref="AN42">COUNTA(TIM!AN$5:AN$200)-SUM(--_xlfn.ISFORMULA(TIM!AN$5:AN$200))</f>
        <v>0</v>
      </c>
      <c r="AO42" s="52" cm="1">
        <f t="array" ref="AO42">COUNTA(TIM!AO$5:AO$200)-SUM(--_xlfn.ISFORMULA(TIM!AO$5:AO$200))</f>
        <v>0</v>
      </c>
      <c r="AP42" s="52" cm="1">
        <f t="array" ref="AP42">COUNTA(TIM!AP$5:AP$200)-SUM(--_xlfn.ISFORMULA(TIM!AP$5:AP$200))</f>
        <v>0</v>
      </c>
      <c r="AQ42" s="52" cm="1">
        <f t="array" ref="AQ42">COUNTA(TIM!AQ$5:AQ$200)-SUM(--_xlfn.ISFORMULA(TIM!AQ$5:AQ$200))</f>
        <v>0</v>
      </c>
      <c r="AR42" s="52" cm="1">
        <f t="array" ref="AR42">COUNTA(TIM!AR$5:AR$200)-SUM(--_xlfn.ISFORMULA(TIM!AR$5:AR$200))</f>
        <v>0</v>
      </c>
      <c r="AS42" s="52" cm="1">
        <f t="array" ref="AS42">COUNTA(TIM!AS$5:AS$200)-SUM(--_xlfn.ISFORMULA(TIM!AS$5:AS$200))</f>
        <v>0</v>
      </c>
      <c r="AT42" s="191" cm="1">
        <f t="array" ref="AT42">COUNTA(TIM!AT$5:AT$200)-SUM(--_xlfn.ISFORMULA(TIM!AT$5:AT$200))</f>
        <v>0</v>
      </c>
      <c r="AU42" s="172" cm="1">
        <f t="array" ref="AU42">COUNTA(TIM!AU$5:AU$200)-SUM(--_xlfn.ISFORMULA(TIM!AU$5:AU$200))</f>
        <v>0</v>
      </c>
      <c r="AV42" s="52" cm="1">
        <f t="array" ref="AV42">COUNTA(TIM!AV$5:AV$200)-SUM(--_xlfn.ISFORMULA(TIM!AV$5:AV$200))</f>
        <v>0</v>
      </c>
      <c r="AW42" s="52" cm="1">
        <f t="array" ref="AW42">COUNTA(TIM!AW$5:AW$200)-SUM(--_xlfn.ISFORMULA(TIM!AW$5:AW$200))</f>
        <v>0</v>
      </c>
      <c r="AX42" s="52" cm="1">
        <f t="array" ref="AX42">COUNTA(TIM!AX$5:AX$200)-SUM(--_xlfn.ISFORMULA(TIM!AX$5:AX$200))</f>
        <v>0</v>
      </c>
      <c r="AY42" s="52" cm="1">
        <f t="array" ref="AY42">COUNTA(TIM!AY$5:AY$200)-SUM(--_xlfn.ISFORMULA(TIM!AY$5:AY$200))</f>
        <v>0</v>
      </c>
    </row>
    <row r="43" spans="1:51" customFormat="1" ht="14.5">
      <c r="E43" t="s">
        <v>154</v>
      </c>
      <c r="I43" s="139" cm="1">
        <f t="array" ref="I43">COUNTA(Depreciation!I$5:I$198)-SUM(--_xlfn.ISFORMULA(Depreciation!I$5:I$198))-27</f>
        <v>0</v>
      </c>
      <c r="K43" s="52" cm="1">
        <f t="array" ref="K43">COUNTA(Depreciation!K$5:K$198)-SUM(--_xlfn.ISFORMULA(Depreciation!K$5:K$198))</f>
        <v>0</v>
      </c>
      <c r="L43" s="52" cm="1">
        <f t="array" ref="L43">COUNTA(Depreciation!L$5:L$198)-SUM(--_xlfn.ISFORMULA(Depreciation!L$5:L$198))</f>
        <v>0</v>
      </c>
      <c r="M43" s="52" cm="1">
        <f t="array" ref="M43">COUNTA(Depreciation!M$5:M$198)-SUM(--_xlfn.ISFORMULA(Depreciation!M$5:M$198))</f>
        <v>0</v>
      </c>
      <c r="N43" s="52" cm="1">
        <f t="array" ref="N43">COUNTA(Depreciation!N$5:N$198)-SUM(--_xlfn.ISFORMULA(Depreciation!N$5:N$198))</f>
        <v>0</v>
      </c>
      <c r="O43" s="52" cm="1">
        <f t="array" ref="O43">COUNTA(Depreciation!O$5:O$198)-SUM(--_xlfn.ISFORMULA(Depreciation!O$5:O$198))</f>
        <v>0</v>
      </c>
      <c r="P43" s="52" cm="1">
        <f t="array" ref="P43">COUNTA(Depreciation!P$5:P$198)-SUM(--_xlfn.ISFORMULA(Depreciation!P$5:P$198))</f>
        <v>0</v>
      </c>
      <c r="Q43" s="52" cm="1">
        <f t="array" ref="Q43">COUNTA(Depreciation!Q$5:Q$198)-SUM(--_xlfn.ISFORMULA(Depreciation!Q$5:Q$198))</f>
        <v>0</v>
      </c>
      <c r="R43" s="52" cm="1">
        <f t="array" ref="R43">COUNTA(Depreciation!R$5:R$198)-SUM(--_xlfn.ISFORMULA(Depreciation!R$5:R$198))</f>
        <v>0</v>
      </c>
      <c r="S43" s="52" cm="1">
        <f t="array" ref="S43">COUNTA(Depreciation!S$5:S$198)-SUM(--_xlfn.ISFORMULA(Depreciation!S$5:S$198))</f>
        <v>0</v>
      </c>
      <c r="T43" s="52" cm="1">
        <f t="array" ref="T43">COUNTA(Depreciation!T$5:T$198)-SUM(--_xlfn.ISFORMULA(Depreciation!T$5:T$198))</f>
        <v>0</v>
      </c>
      <c r="U43" s="52" cm="1">
        <f t="array" ref="U43">COUNTA(Depreciation!U$5:U$198)-SUM(--_xlfn.ISFORMULA(Depreciation!U$5:U$198))</f>
        <v>0</v>
      </c>
      <c r="V43" s="52" cm="1">
        <f t="array" ref="V43">COUNTA(Depreciation!V$5:V$198)-SUM(--_xlfn.ISFORMULA(Depreciation!V$5:V$198))</f>
        <v>0</v>
      </c>
      <c r="W43" s="52" cm="1">
        <f t="array" ref="W43">COUNTA(Depreciation!W$5:W$198)-SUM(--_xlfn.ISFORMULA(Depreciation!W$5:W$198))</f>
        <v>0</v>
      </c>
      <c r="X43" s="52" cm="1">
        <f t="array" ref="X43">COUNTA(Depreciation!X$5:X$198)-SUM(--_xlfn.ISFORMULA(Depreciation!X$5:X$198))</f>
        <v>0</v>
      </c>
      <c r="Y43" s="52" cm="1">
        <f t="array" ref="Y43">COUNTA(Depreciation!Y$5:Y$198)-SUM(--_xlfn.ISFORMULA(Depreciation!Y$5:Y$198))</f>
        <v>0</v>
      </c>
      <c r="Z43" s="52" cm="1">
        <f t="array" ref="Z43">COUNTA(Depreciation!Z$5:Z$198)-SUM(--_xlfn.ISFORMULA(Depreciation!Z$5:Z$198))</f>
        <v>0</v>
      </c>
      <c r="AA43" s="52" cm="1">
        <f t="array" ref="AA43">COUNTA(Depreciation!AA$5:AA$198)-SUM(--_xlfn.ISFORMULA(Depreciation!AA$5:AA$198))</f>
        <v>0</v>
      </c>
      <c r="AB43" s="52" cm="1">
        <f t="array" ref="AB43">COUNTA(Depreciation!AB$5:AB$198)-SUM(--_xlfn.ISFORMULA(Depreciation!AB$5:AB$198))</f>
        <v>0</v>
      </c>
      <c r="AC43" s="52" cm="1">
        <f t="array" ref="AC43">COUNTA(Depreciation!AC$5:AC$198)-SUM(--_xlfn.ISFORMULA(Depreciation!AC$5:AC$198))</f>
        <v>0</v>
      </c>
      <c r="AD43" s="52" cm="1">
        <f t="array" ref="AD43">COUNTA(Depreciation!AD$5:AD$198)-SUM(--_xlfn.ISFORMULA(Depreciation!AD$5:AD$198))</f>
        <v>0</v>
      </c>
      <c r="AE43" s="52" cm="1">
        <f t="array" ref="AE43">COUNTA(Depreciation!AE$5:AE$198)-SUM(--_xlfn.ISFORMULA(Depreciation!AE$5:AE$198))</f>
        <v>0</v>
      </c>
      <c r="AF43" s="52" cm="1">
        <f t="array" ref="AF43">COUNTA(Depreciation!AF$5:AF$198)-SUM(--_xlfn.ISFORMULA(Depreciation!AF$5:AF$198))</f>
        <v>0</v>
      </c>
      <c r="AG43" s="52" cm="1">
        <f t="array" ref="AG43">COUNTA(Depreciation!AG$5:AG$198)-SUM(--_xlfn.ISFORMULA(Depreciation!AG$5:AG$198))</f>
        <v>0</v>
      </c>
      <c r="AH43" s="52" cm="1">
        <f t="array" ref="AH43">COUNTA(Depreciation!AH$5:AH$198)-SUM(--_xlfn.ISFORMULA(Depreciation!AH$5:AH$198))</f>
        <v>0</v>
      </c>
      <c r="AI43" s="52" cm="1">
        <f t="array" ref="AI43">COUNTA(Depreciation!AI$5:AI$198)-SUM(--_xlfn.ISFORMULA(Depreciation!AI$5:AI$198))</f>
        <v>0</v>
      </c>
      <c r="AJ43" s="52" cm="1">
        <f t="array" ref="AJ43">COUNTA(Depreciation!AJ$5:AJ$198)-SUM(--_xlfn.ISFORMULA(Depreciation!AJ$5:AJ$198))</f>
        <v>0</v>
      </c>
      <c r="AK43" s="52" cm="1">
        <f t="array" ref="AK43">COUNTA(Depreciation!AK$5:AK$198)-SUM(--_xlfn.ISFORMULA(Depreciation!AK$5:AK$198))</f>
        <v>0</v>
      </c>
      <c r="AL43" s="52" cm="1">
        <f t="array" ref="AL43">COUNTA(Depreciation!AL$5:AL$198)-SUM(--_xlfn.ISFORMULA(Depreciation!AL$5:AL$198))</f>
        <v>0</v>
      </c>
      <c r="AM43" s="52" cm="1">
        <f t="array" ref="AM43">COUNTA(Depreciation!AM$5:AM$198)-SUM(--_xlfn.ISFORMULA(Depreciation!AM$5:AM$198))</f>
        <v>0</v>
      </c>
      <c r="AN43" s="52" cm="1">
        <f t="array" ref="AN43">COUNTA(Depreciation!AN$5:AN$198)-SUM(--_xlfn.ISFORMULA(Depreciation!AN$5:AN$198))</f>
        <v>0</v>
      </c>
      <c r="AO43" s="52" cm="1">
        <f t="array" ref="AO43">COUNTA(Depreciation!AO$5:AO$198)-SUM(--_xlfn.ISFORMULA(Depreciation!AO$5:AO$198))</f>
        <v>0</v>
      </c>
      <c r="AP43" s="52" cm="1">
        <f t="array" ref="AP43">COUNTA(Depreciation!AP$5:AP$198)-SUM(--_xlfn.ISFORMULA(Depreciation!AP$5:AP$198))</f>
        <v>0</v>
      </c>
      <c r="AQ43" s="52" cm="1">
        <f t="array" ref="AQ43">COUNTA(Depreciation!AQ$5:AQ$198)-SUM(--_xlfn.ISFORMULA(Depreciation!AQ$5:AQ$198))</f>
        <v>0</v>
      </c>
      <c r="AR43" s="52" cm="1">
        <f t="array" ref="AR43">COUNTA(Depreciation!AR$5:AR$198)-SUM(--_xlfn.ISFORMULA(Depreciation!AR$5:AR$198))</f>
        <v>0</v>
      </c>
      <c r="AS43" s="52" cm="1">
        <f t="array" ref="AS43">COUNTA(Depreciation!AS$5:AS$198)-SUM(--_xlfn.ISFORMULA(Depreciation!AS$5:AS$198))</f>
        <v>0</v>
      </c>
      <c r="AT43" s="191" cm="1">
        <f t="array" ref="AT43">COUNTA(Depreciation!AT$5:AT$198)-SUM(--_xlfn.ISFORMULA(Depreciation!AT$5:AT$198))</f>
        <v>0</v>
      </c>
      <c r="AU43" s="172" cm="1">
        <f t="array" ref="AU43">COUNTA(Depreciation!AU$5:AU$198)-SUM(--_xlfn.ISFORMULA(Depreciation!AU$5:AU$198))</f>
        <v>0</v>
      </c>
      <c r="AV43" s="52" cm="1">
        <f t="array" ref="AV43">COUNTA(Depreciation!AV$5:AV$198)-SUM(--_xlfn.ISFORMULA(Depreciation!AV$5:AV$198))</f>
        <v>0</v>
      </c>
      <c r="AW43" s="52" cm="1">
        <f t="array" ref="AW43">COUNTA(Depreciation!AW$5:AW$198)-SUM(--_xlfn.ISFORMULA(Depreciation!AW$5:AW$198))</f>
        <v>0</v>
      </c>
      <c r="AX43" s="52" cm="1">
        <f t="array" ref="AX43">COUNTA(Depreciation!AX$5:AX$198)-SUM(--_xlfn.ISFORMULA(Depreciation!AX$5:AX$198))</f>
        <v>0</v>
      </c>
      <c r="AY43" s="52" cm="1">
        <f t="array" ref="AY43">COUNTA(Depreciation!AY$5:AY$198)-SUM(--_xlfn.ISFORMULA(Depreciation!AY$5:AY$198))</f>
        <v>0</v>
      </c>
    </row>
    <row r="44" spans="1:51" customFormat="1" ht="14.5">
      <c r="E44" t="s">
        <v>415</v>
      </c>
      <c r="I44" s="138" cm="1">
        <f t="array" ref="I44">COUNTA(NonCore!I$5:I$200)-SUM(--_xlfn.ISFORMULA(NonCore!I$5:I$200))</f>
        <v>0</v>
      </c>
      <c r="K44" s="52" cm="1">
        <f t="array" ref="K44">COUNTA(NonCore!K$5:K$200)-SUM(--_xlfn.ISFORMULA(NonCore!K$5:K$200))</f>
        <v>0</v>
      </c>
      <c r="L44" s="52" cm="1">
        <f t="array" ref="L44">COUNTA(NonCore!L$5:L$200)-SUM(--_xlfn.ISFORMULA(NonCore!L$5:L$200))</f>
        <v>0</v>
      </c>
      <c r="M44" s="52" cm="1">
        <f t="array" ref="M44">COUNTA(NonCore!M$5:M$200)-SUM(--_xlfn.ISFORMULA(NonCore!M$5:M$200))</f>
        <v>0</v>
      </c>
      <c r="N44" s="52" cm="1">
        <f t="array" ref="N44">COUNTA(NonCore!N$5:N$200)-SUM(--_xlfn.ISFORMULA(NonCore!N$5:N$200))</f>
        <v>0</v>
      </c>
      <c r="O44" s="52" cm="1">
        <f t="array" ref="O44">COUNTA(NonCore!O$5:O$200)-SUM(--_xlfn.ISFORMULA(NonCore!O$5:O$200))</f>
        <v>0</v>
      </c>
      <c r="P44" s="52" cm="1">
        <f t="array" ref="P44">COUNTA(NonCore!P$5:P$200)-SUM(--_xlfn.ISFORMULA(NonCore!P$5:P$200))</f>
        <v>0</v>
      </c>
      <c r="Q44" s="52" cm="1">
        <f t="array" ref="Q44">COUNTA(NonCore!Q$5:Q$200)-SUM(--_xlfn.ISFORMULA(NonCore!Q$5:Q$200))</f>
        <v>0</v>
      </c>
      <c r="R44" s="52" cm="1">
        <f t="array" ref="R44">COUNTA(NonCore!R$5:R$200)-SUM(--_xlfn.ISFORMULA(NonCore!R$5:R$200))</f>
        <v>0</v>
      </c>
      <c r="S44" s="52" cm="1">
        <f t="array" ref="S44">COUNTA(NonCore!S$5:S$200)-SUM(--_xlfn.ISFORMULA(NonCore!S$5:S$200))</f>
        <v>0</v>
      </c>
      <c r="T44" s="52" cm="1">
        <f t="array" ref="T44">COUNTA(NonCore!T$5:T$200)-SUM(--_xlfn.ISFORMULA(NonCore!T$5:T$200))</f>
        <v>0</v>
      </c>
      <c r="U44" s="52" cm="1">
        <f t="array" ref="U44">COUNTA(NonCore!U$5:U$200)-SUM(--_xlfn.ISFORMULA(NonCore!U$5:U$200))</f>
        <v>0</v>
      </c>
      <c r="V44" s="52" cm="1">
        <f t="array" ref="V44">COUNTA(NonCore!V$5:V$200)-SUM(--_xlfn.ISFORMULA(NonCore!V$5:V$200))</f>
        <v>0</v>
      </c>
      <c r="W44" s="52" cm="1">
        <f t="array" ref="W44">COUNTA(NonCore!W$5:W$200)-SUM(--_xlfn.ISFORMULA(NonCore!W$5:W$200))</f>
        <v>0</v>
      </c>
      <c r="X44" s="52" cm="1">
        <f t="array" ref="X44">COUNTA(NonCore!X$5:X$200)-SUM(--_xlfn.ISFORMULA(NonCore!X$5:X$200))</f>
        <v>0</v>
      </c>
      <c r="Y44" s="52" cm="1">
        <f t="array" ref="Y44">COUNTA(NonCore!Y$5:Y$200)-SUM(--_xlfn.ISFORMULA(NonCore!Y$5:Y$200))</f>
        <v>0</v>
      </c>
      <c r="Z44" s="52" cm="1">
        <f t="array" ref="Z44">COUNTA(NonCore!Z$5:Z$200)-SUM(--_xlfn.ISFORMULA(NonCore!Z$5:Z$200))</f>
        <v>0</v>
      </c>
      <c r="AA44" s="52" cm="1">
        <f t="array" ref="AA44">COUNTA(NonCore!AA$5:AA$200)-SUM(--_xlfn.ISFORMULA(NonCore!AA$5:AA$200))</f>
        <v>0</v>
      </c>
      <c r="AB44" s="52" cm="1">
        <f t="array" ref="AB44">COUNTA(NonCore!AB$5:AB$200)-SUM(--_xlfn.ISFORMULA(NonCore!AB$5:AB$200))</f>
        <v>0</v>
      </c>
      <c r="AC44" s="52" cm="1">
        <f t="array" ref="AC44">COUNTA(NonCore!AC$5:AC$200)-SUM(--_xlfn.ISFORMULA(NonCore!AC$5:AC$200))</f>
        <v>0</v>
      </c>
      <c r="AD44" s="52" cm="1">
        <f t="array" ref="AD44">COUNTA(NonCore!AD$5:AD$200)-SUM(--_xlfn.ISFORMULA(NonCore!AD$5:AD$200))</f>
        <v>0</v>
      </c>
      <c r="AE44" s="52" cm="1">
        <f t="array" ref="AE44">COUNTA(NonCore!AE$5:AE$200)-SUM(--_xlfn.ISFORMULA(NonCore!AE$5:AE$200))</f>
        <v>0</v>
      </c>
      <c r="AF44" s="52" cm="1">
        <f t="array" ref="AF44">COUNTA(NonCore!AF$5:AF$200)-SUM(--_xlfn.ISFORMULA(NonCore!AF$5:AF$200))</f>
        <v>0</v>
      </c>
      <c r="AG44" s="52" cm="1">
        <f t="array" ref="AG44">COUNTA(NonCore!AG$5:AG$200)-SUM(--_xlfn.ISFORMULA(NonCore!AG$5:AG$200))</f>
        <v>0</v>
      </c>
      <c r="AH44" s="52" cm="1">
        <f t="array" ref="AH44">COUNTA(NonCore!AH$5:AH$200)-SUM(--_xlfn.ISFORMULA(NonCore!AH$5:AH$200))</f>
        <v>0</v>
      </c>
      <c r="AI44" s="52" cm="1">
        <f t="array" ref="AI44">COUNTA(NonCore!AI$5:AI$200)-SUM(--_xlfn.ISFORMULA(NonCore!AI$5:AI$200))</f>
        <v>0</v>
      </c>
      <c r="AJ44" s="52" cm="1">
        <f t="array" ref="AJ44">COUNTA(NonCore!AJ$5:AJ$200)-SUM(--_xlfn.ISFORMULA(NonCore!AJ$5:AJ$200))</f>
        <v>0</v>
      </c>
      <c r="AK44" s="52" cm="1">
        <f t="array" ref="AK44">COUNTA(NonCore!AK$5:AK$200)-SUM(--_xlfn.ISFORMULA(NonCore!AK$5:AK$200))</f>
        <v>0</v>
      </c>
      <c r="AL44" s="52" cm="1">
        <f t="array" ref="AL44">COUNTA(NonCore!AL$5:AL$200)-SUM(--_xlfn.ISFORMULA(NonCore!AL$5:AL$200))</f>
        <v>0</v>
      </c>
      <c r="AM44" s="52" cm="1">
        <f t="array" ref="AM44">COUNTA(NonCore!AM$5:AM$200)-SUM(--_xlfn.ISFORMULA(NonCore!AM$5:AM$200))</f>
        <v>0</v>
      </c>
      <c r="AN44" s="52" cm="1">
        <f t="array" ref="AN44">COUNTA(NonCore!AN$5:AN$200)-SUM(--_xlfn.ISFORMULA(NonCore!AN$5:AN$200))</f>
        <v>0</v>
      </c>
      <c r="AO44" s="52" cm="1">
        <f t="array" ref="AO44">COUNTA(NonCore!AO$5:AO$200)-SUM(--_xlfn.ISFORMULA(NonCore!AO$5:AO$200))</f>
        <v>0</v>
      </c>
      <c r="AP44" s="52" cm="1">
        <f t="array" ref="AP44">COUNTA(NonCore!AP$5:AP$200)-SUM(--_xlfn.ISFORMULA(NonCore!AP$5:AP$200))</f>
        <v>0</v>
      </c>
      <c r="AQ44" s="52" cm="1">
        <f t="array" ref="AQ44">COUNTA(NonCore!AQ$5:AQ$200)-SUM(--_xlfn.ISFORMULA(NonCore!AQ$5:AQ$200))</f>
        <v>0</v>
      </c>
      <c r="AR44" s="52" cm="1">
        <f t="array" ref="AR44">COUNTA(NonCore!AR$5:AR$200)-SUM(--_xlfn.ISFORMULA(NonCore!AR$5:AR$200))</f>
        <v>0</v>
      </c>
      <c r="AS44" s="52" cm="1">
        <f t="array" ref="AS44">COUNTA(NonCore!AS$5:AS$200)-SUM(--_xlfn.ISFORMULA(NonCore!AS$5:AS$200))</f>
        <v>0</v>
      </c>
      <c r="AT44" s="191" cm="1">
        <f t="array" ref="AT44">COUNTA(NonCore!AT$5:AT$200)-SUM(--_xlfn.ISFORMULA(NonCore!AT$5:AT$200))</f>
        <v>0</v>
      </c>
      <c r="AU44" s="172" cm="1">
        <f t="array" ref="AU44">COUNTA(NonCore!AU$5:AU$200)-SUM(--_xlfn.ISFORMULA(NonCore!AU$5:AU$200))</f>
        <v>0</v>
      </c>
      <c r="AV44" s="52" cm="1">
        <f t="array" ref="AV44">COUNTA(NonCore!AV$5:AV$200)-SUM(--_xlfn.ISFORMULA(NonCore!AV$5:AV$200))</f>
        <v>0</v>
      </c>
      <c r="AW44" s="52" cm="1">
        <f t="array" ref="AW44">COUNTA(NonCore!AW$5:AW$200)-SUM(--_xlfn.ISFORMULA(NonCore!AW$5:AW$200))</f>
        <v>0</v>
      </c>
      <c r="AX44" s="52" cm="1">
        <f t="array" ref="AX44">COUNTA(NonCore!AX$5:AX$200)-SUM(--_xlfn.ISFORMULA(NonCore!AX$5:AX$200))</f>
        <v>0</v>
      </c>
      <c r="AY44" s="52" cm="1">
        <f t="array" ref="AY44">COUNTA(NonCore!AY$5:AY$200)-SUM(--_xlfn.ISFORMULA(NonCore!AY$5:AY$200))</f>
        <v>0</v>
      </c>
    </row>
    <row r="45" spans="1:51" customFormat="1" ht="14.5">
      <c r="E45" t="s">
        <v>309</v>
      </c>
      <c r="I45" s="52" cm="1">
        <f t="array" ref="I45">COUNTA('Return&amp;RAV'!I$5:I$201)-SUM(--_xlfn.ISFORMULA('Return&amp;RAV'!I$5:I$201))</f>
        <v>0</v>
      </c>
      <c r="K45" s="52" cm="1">
        <f t="array" ref="K45">COUNTA('Return&amp;RAV'!K$5:K$201)-SUM(--_xlfn.ISFORMULA('Return&amp;RAV'!K$5:K$201))</f>
        <v>0</v>
      </c>
      <c r="L45" s="52" cm="1">
        <f t="array" ref="L45">COUNTA('Return&amp;RAV'!L$5:L$201)-SUM(--_xlfn.ISFORMULA('Return&amp;RAV'!L$5:L$201))</f>
        <v>0</v>
      </c>
      <c r="M45" s="52" cm="1">
        <f t="array" ref="M45">COUNTA('Return&amp;RAV'!M$5:M$201)-SUM(--_xlfn.ISFORMULA('Return&amp;RAV'!M$5:M$201))</f>
        <v>0</v>
      </c>
      <c r="N45" s="52" cm="1">
        <f t="array" ref="N45">COUNTA('Return&amp;RAV'!N$5:N$201)-SUM(--_xlfn.ISFORMULA('Return&amp;RAV'!N$5:N$201))</f>
        <v>0</v>
      </c>
      <c r="O45" s="52" cm="1">
        <f t="array" ref="O45">COUNTA('Return&amp;RAV'!O$5:O$201)-SUM(--_xlfn.ISFORMULA('Return&amp;RAV'!O$5:O$201))</f>
        <v>0</v>
      </c>
      <c r="P45" s="52" cm="1">
        <f t="array" ref="P45">COUNTA('Return&amp;RAV'!P$5:P$201)-SUM(--_xlfn.ISFORMULA('Return&amp;RAV'!P$5:P$201))</f>
        <v>0</v>
      </c>
      <c r="Q45" s="52" cm="1">
        <f t="array" ref="Q45">COUNTA('Return&amp;RAV'!Q$5:Q$201)-SUM(--_xlfn.ISFORMULA('Return&amp;RAV'!Q$5:Q$201))</f>
        <v>0</v>
      </c>
      <c r="R45" s="52" cm="1">
        <f t="array" ref="R45">COUNTA('Return&amp;RAV'!R$5:R$201)-SUM(--_xlfn.ISFORMULA('Return&amp;RAV'!R$5:R$201))</f>
        <v>0</v>
      </c>
      <c r="S45" s="52" cm="1">
        <f t="array" ref="S45">COUNTA('Return&amp;RAV'!S$5:S$201)-SUM(--_xlfn.ISFORMULA('Return&amp;RAV'!S$5:S$201))</f>
        <v>0</v>
      </c>
      <c r="T45" s="52" cm="1">
        <f t="array" ref="T45">COUNTA('Return&amp;RAV'!T$5:T$201)-SUM(--_xlfn.ISFORMULA('Return&amp;RAV'!T$5:T$201))</f>
        <v>0</v>
      </c>
      <c r="U45" s="52" cm="1">
        <f t="array" ref="U45">COUNTA('Return&amp;RAV'!U$5:U$201)-SUM(--_xlfn.ISFORMULA('Return&amp;RAV'!U$5:U$201))</f>
        <v>0</v>
      </c>
      <c r="V45" s="52" cm="1">
        <f t="array" ref="V45">COUNTA('Return&amp;RAV'!V$5:V$201)-SUM(--_xlfn.ISFORMULA('Return&amp;RAV'!V$5:V$201))</f>
        <v>0</v>
      </c>
      <c r="W45" s="52" cm="1">
        <f t="array" ref="W45">COUNTA('Return&amp;RAV'!W$5:W$201)-SUM(--_xlfn.ISFORMULA('Return&amp;RAV'!W$5:W$201))</f>
        <v>0</v>
      </c>
      <c r="X45" s="52" cm="1">
        <f t="array" ref="X45">COUNTA('Return&amp;RAV'!X$5:X$201)-SUM(--_xlfn.ISFORMULA('Return&amp;RAV'!X$5:X$201))</f>
        <v>0</v>
      </c>
      <c r="Y45" s="52" cm="1">
        <f t="array" ref="Y45">COUNTA('Return&amp;RAV'!Y$5:Y$201)-SUM(--_xlfn.ISFORMULA('Return&amp;RAV'!Y$5:Y$201))</f>
        <v>0</v>
      </c>
      <c r="Z45" s="52" cm="1">
        <f t="array" ref="Z45">COUNTA('Return&amp;RAV'!Z$5:Z$201)-SUM(--_xlfn.ISFORMULA('Return&amp;RAV'!Z$5:Z$201))</f>
        <v>0</v>
      </c>
      <c r="AA45" s="52" cm="1">
        <f t="array" ref="AA45">COUNTA('Return&amp;RAV'!AA$5:AA$201)-SUM(--_xlfn.ISFORMULA('Return&amp;RAV'!AA$5:AA$201))</f>
        <v>0</v>
      </c>
      <c r="AB45" s="52" cm="1">
        <f t="array" ref="AB45">COUNTA('Return&amp;RAV'!AB$5:AB$201)-SUM(--_xlfn.ISFORMULA('Return&amp;RAV'!AB$5:AB$201))</f>
        <v>0</v>
      </c>
      <c r="AC45" s="52" cm="1">
        <f t="array" ref="AC45">COUNTA('Return&amp;RAV'!AC$5:AC$201)-SUM(--_xlfn.ISFORMULA('Return&amp;RAV'!AC$5:AC$201))</f>
        <v>0</v>
      </c>
      <c r="AD45" s="52" cm="1">
        <f t="array" ref="AD45">COUNTA('Return&amp;RAV'!AD$5:AD$201)-SUM(--_xlfn.ISFORMULA('Return&amp;RAV'!AD$5:AD$201))</f>
        <v>0</v>
      </c>
      <c r="AE45" s="52" cm="1">
        <f t="array" ref="AE45">COUNTA('Return&amp;RAV'!AE$5:AE$201)-SUM(--_xlfn.ISFORMULA('Return&amp;RAV'!AE$5:AE$201))</f>
        <v>0</v>
      </c>
      <c r="AF45" s="52" cm="1">
        <f t="array" ref="AF45">COUNTA('Return&amp;RAV'!AF$5:AF$201)-SUM(--_xlfn.ISFORMULA('Return&amp;RAV'!AF$5:AF$201))</f>
        <v>0</v>
      </c>
      <c r="AG45" s="52" cm="1">
        <f t="array" ref="AG45">COUNTA('Return&amp;RAV'!AG$5:AG$201)-SUM(--_xlfn.ISFORMULA('Return&amp;RAV'!AG$5:AG$201))</f>
        <v>0</v>
      </c>
      <c r="AH45" s="52" cm="1">
        <f t="array" ref="AH45">COUNTA('Return&amp;RAV'!AH$5:AH$201)-SUM(--_xlfn.ISFORMULA('Return&amp;RAV'!AH$5:AH$201))</f>
        <v>0</v>
      </c>
      <c r="AI45" s="52" cm="1">
        <f t="array" ref="AI45">COUNTA('Return&amp;RAV'!AI$5:AI$201)-SUM(--_xlfn.ISFORMULA('Return&amp;RAV'!AI$5:AI$201))</f>
        <v>0</v>
      </c>
      <c r="AJ45" s="52" cm="1">
        <f t="array" ref="AJ45">COUNTA('Return&amp;RAV'!AJ$5:AJ$201)-SUM(--_xlfn.ISFORMULA('Return&amp;RAV'!AJ$5:AJ$201))</f>
        <v>0</v>
      </c>
      <c r="AK45" s="52" cm="1">
        <f t="array" ref="AK45">COUNTA('Return&amp;RAV'!AK$5:AK$201)-SUM(--_xlfn.ISFORMULA('Return&amp;RAV'!AK$5:AK$201))</f>
        <v>0</v>
      </c>
      <c r="AL45" s="52" cm="1">
        <f t="array" ref="AL45">COUNTA('Return&amp;RAV'!AL$5:AL$201)-SUM(--_xlfn.ISFORMULA('Return&amp;RAV'!AL$5:AL$201))</f>
        <v>0</v>
      </c>
      <c r="AM45" s="52" cm="1">
        <f t="array" ref="AM45">COUNTA('Return&amp;RAV'!AM$5:AM$201)-SUM(--_xlfn.ISFORMULA('Return&amp;RAV'!AM$5:AM$201))</f>
        <v>0</v>
      </c>
      <c r="AN45" s="52" cm="1">
        <f t="array" ref="AN45">COUNTA('Return&amp;RAV'!AN$5:AN$201)-SUM(--_xlfn.ISFORMULA('Return&amp;RAV'!AN$5:AN$201))</f>
        <v>0</v>
      </c>
      <c r="AO45" s="52" cm="1">
        <f t="array" ref="AO45">COUNTA('Return&amp;RAV'!AO$5:AO$201)-SUM(--_xlfn.ISFORMULA('Return&amp;RAV'!AO$5:AO$201))</f>
        <v>0</v>
      </c>
      <c r="AP45" s="52" cm="1">
        <f t="array" ref="AP45">COUNTA('Return&amp;RAV'!AP$5:AP$201)-SUM(--_xlfn.ISFORMULA('Return&amp;RAV'!AP$5:AP$201))</f>
        <v>0</v>
      </c>
      <c r="AQ45" s="52" cm="1">
        <f t="array" ref="AQ45">COUNTA('Return&amp;RAV'!AQ$5:AQ$201)-SUM(--_xlfn.ISFORMULA('Return&amp;RAV'!AQ$5:AQ$201))</f>
        <v>0</v>
      </c>
      <c r="AR45" s="52" cm="1">
        <f t="array" ref="AR45">COUNTA('Return&amp;RAV'!AR$5:AR$201)-SUM(--_xlfn.ISFORMULA('Return&amp;RAV'!AR$5:AR$201))</f>
        <v>0</v>
      </c>
      <c r="AS45" s="52" cm="1">
        <f t="array" ref="AS45">COUNTA('Return&amp;RAV'!AS$5:AS$201)-SUM(--_xlfn.ISFORMULA('Return&amp;RAV'!AS$5:AS$201))</f>
        <v>0</v>
      </c>
      <c r="AT45" s="191" cm="1">
        <f t="array" ref="AT45">COUNTA('Return&amp;RAV'!AT$5:AT$201)-SUM(--_xlfn.ISFORMULA('Return&amp;RAV'!AT$5:AT$201))</f>
        <v>0</v>
      </c>
      <c r="AU45" s="172" cm="1">
        <f t="array" ref="AU45">COUNTA('Return&amp;RAV'!AU$5:AU$201)-SUM(--_xlfn.ISFORMULA('Return&amp;RAV'!AU$5:AU$201))</f>
        <v>0</v>
      </c>
      <c r="AV45" s="52" cm="1">
        <f t="array" ref="AV45">COUNTA('Return&amp;RAV'!AV$5:AV$201)-SUM(--_xlfn.ISFORMULA('Return&amp;RAV'!AV$5:AV$201))</f>
        <v>0</v>
      </c>
      <c r="AW45" s="52" cm="1">
        <f t="array" ref="AW45">COUNTA('Return&amp;RAV'!AW$5:AW$201)-SUM(--_xlfn.ISFORMULA('Return&amp;RAV'!AW$5:AW$201))</f>
        <v>0</v>
      </c>
      <c r="AX45" s="52" cm="1">
        <f t="array" ref="AX45">COUNTA('Return&amp;RAV'!AX$5:AX$201)-SUM(--_xlfn.ISFORMULA('Return&amp;RAV'!AX$5:AX$201))</f>
        <v>0</v>
      </c>
      <c r="AY45" s="52" cm="1">
        <f t="array" ref="AY45">COUNTA('Return&amp;RAV'!AY$5:AY$201)-SUM(--_xlfn.ISFORMULA('Return&amp;RAV'!AY$5:AY$201))</f>
        <v>0</v>
      </c>
    </row>
    <row r="46" spans="1:51" customFormat="1" ht="14.5">
      <c r="E46" t="s">
        <v>297</v>
      </c>
      <c r="I46" s="52" cm="1">
        <f t="array" ref="I46">COUNTA(TaxPools!I$5:I$195)-SUM(--_xlfn.ISFORMULA(TaxPools!I$5:I$195))</f>
        <v>0</v>
      </c>
      <c r="K46" s="52" cm="1">
        <f t="array" ref="K46">COUNTA(TaxPools!K$5:K$195)-SUM(--_xlfn.ISFORMULA(TaxPools!K$5:K$195))</f>
        <v>0</v>
      </c>
      <c r="L46" s="52" cm="1">
        <f t="array" ref="L46">COUNTA(TaxPools!L$5:L$195)-SUM(--_xlfn.ISFORMULA(TaxPools!L$5:L$195))</f>
        <v>0</v>
      </c>
      <c r="M46" s="52" cm="1">
        <f t="array" ref="M46">COUNTA(TaxPools!M$5:M$195)-SUM(--_xlfn.ISFORMULA(TaxPools!M$5:M$195))</f>
        <v>0</v>
      </c>
      <c r="N46" s="52" cm="1">
        <f t="array" ref="N46">COUNTA(TaxPools!N$5:N$195)-SUM(--_xlfn.ISFORMULA(TaxPools!N$5:N$195))</f>
        <v>0</v>
      </c>
      <c r="O46" s="52" cm="1">
        <f t="array" ref="O46">COUNTA(TaxPools!O$5:O$195)-SUM(--_xlfn.ISFORMULA(TaxPools!O$5:O$195))</f>
        <v>0</v>
      </c>
      <c r="P46" s="52" cm="1">
        <f t="array" ref="P46">COUNTA(TaxPools!P$5:P$195)-SUM(--_xlfn.ISFORMULA(TaxPools!P$5:P$195))</f>
        <v>0</v>
      </c>
      <c r="Q46" s="52" cm="1">
        <f t="array" ref="Q46">COUNTA(TaxPools!Q$5:Q$195)-SUM(--_xlfn.ISFORMULA(TaxPools!Q$5:Q$195))</f>
        <v>0</v>
      </c>
      <c r="R46" s="52" cm="1">
        <f t="array" ref="R46">COUNTA(TaxPools!R$5:R$195)-SUM(--_xlfn.ISFORMULA(TaxPools!R$5:R$195))</f>
        <v>0</v>
      </c>
      <c r="S46" s="52" cm="1">
        <f t="array" ref="S46">COUNTA(TaxPools!S$5:S$195)-SUM(--_xlfn.ISFORMULA(TaxPools!S$5:S$195))</f>
        <v>0</v>
      </c>
      <c r="T46" s="52" cm="1">
        <f t="array" ref="T46">COUNTA(TaxPools!T$5:T$195)-SUM(--_xlfn.ISFORMULA(TaxPools!T$5:T$195))</f>
        <v>0</v>
      </c>
      <c r="U46" s="52" cm="1">
        <f t="array" ref="U46">COUNTA(TaxPools!U$5:U$195)-SUM(--_xlfn.ISFORMULA(TaxPools!U$5:U$195))</f>
        <v>0</v>
      </c>
      <c r="V46" s="52" cm="1">
        <f t="array" ref="V46">COUNTA(TaxPools!V$5:V$195)-SUM(--_xlfn.ISFORMULA(TaxPools!V$5:V$195))</f>
        <v>0</v>
      </c>
      <c r="W46" s="52" cm="1">
        <f t="array" ref="W46">COUNTA(TaxPools!W$5:W$195)-SUM(--_xlfn.ISFORMULA(TaxPools!W$5:W$195))</f>
        <v>0</v>
      </c>
      <c r="X46" s="52" cm="1">
        <f t="array" ref="X46">COUNTA(TaxPools!X$5:X$195)-SUM(--_xlfn.ISFORMULA(TaxPools!X$5:X$195))</f>
        <v>0</v>
      </c>
      <c r="Y46" s="52" cm="1">
        <f t="array" ref="Y46">COUNTA(TaxPools!Y$5:Y$195)-SUM(--_xlfn.ISFORMULA(TaxPools!Y$5:Y$195))</f>
        <v>0</v>
      </c>
      <c r="Z46" s="52" cm="1">
        <f t="array" ref="Z46">COUNTA(TaxPools!Z$5:Z$195)-SUM(--_xlfn.ISFORMULA(TaxPools!Z$5:Z$195))</f>
        <v>0</v>
      </c>
      <c r="AA46" s="52" cm="1">
        <f t="array" ref="AA46">COUNTA(TaxPools!AA$5:AA$195)-SUM(--_xlfn.ISFORMULA(TaxPools!AA$5:AA$195))</f>
        <v>0</v>
      </c>
      <c r="AB46" s="52" cm="1">
        <f t="array" ref="AB46">COUNTA(TaxPools!AB$5:AB$195)-SUM(--_xlfn.ISFORMULA(TaxPools!AB$5:AB$195))</f>
        <v>0</v>
      </c>
      <c r="AC46" s="52" cm="1">
        <f t="array" ref="AC46">COUNTA(TaxPools!AC$5:AC$195)-SUM(--_xlfn.ISFORMULA(TaxPools!AC$5:AC$195))</f>
        <v>0</v>
      </c>
      <c r="AD46" s="52" cm="1">
        <f t="array" ref="AD46">COUNTA(TaxPools!AD$5:AD$195)-SUM(--_xlfn.ISFORMULA(TaxPools!AD$5:AD$195))</f>
        <v>0</v>
      </c>
      <c r="AE46" s="52" cm="1">
        <f t="array" ref="AE46">COUNTA(TaxPools!AE$5:AE$195)-SUM(--_xlfn.ISFORMULA(TaxPools!AE$5:AE$195))</f>
        <v>0</v>
      </c>
      <c r="AF46" s="52" cm="1">
        <f t="array" ref="AF46">COUNTA(TaxPools!AF$5:AF$195)-SUM(--_xlfn.ISFORMULA(TaxPools!AF$5:AF$195))</f>
        <v>0</v>
      </c>
      <c r="AG46" s="52" cm="1">
        <f t="array" ref="AG46">COUNTA(TaxPools!AG$5:AG$195)-SUM(--_xlfn.ISFORMULA(TaxPools!AG$5:AG$195))</f>
        <v>0</v>
      </c>
      <c r="AH46" s="52" cm="1">
        <f t="array" ref="AH46">COUNTA(TaxPools!AH$5:AH$195)-SUM(--_xlfn.ISFORMULA(TaxPools!AH$5:AH$195))</f>
        <v>0</v>
      </c>
      <c r="AI46" s="52" cm="1">
        <f t="array" ref="AI46">COUNTA(TaxPools!AI$5:AI$195)-SUM(--_xlfn.ISFORMULA(TaxPools!AI$5:AI$195))</f>
        <v>0</v>
      </c>
      <c r="AJ46" s="52" cm="1">
        <f t="array" ref="AJ46">COUNTA(TaxPools!AJ$5:AJ$195)-SUM(--_xlfn.ISFORMULA(TaxPools!AJ$5:AJ$195))</f>
        <v>0</v>
      </c>
      <c r="AK46" s="52" cm="1">
        <f t="array" ref="AK46">COUNTA(TaxPools!AK$5:AK$195)-SUM(--_xlfn.ISFORMULA(TaxPools!AK$5:AK$195))</f>
        <v>0</v>
      </c>
      <c r="AL46" s="52" cm="1">
        <f t="array" ref="AL46">COUNTA(TaxPools!AL$5:AL$195)-SUM(--_xlfn.ISFORMULA(TaxPools!AL$5:AL$195))</f>
        <v>0</v>
      </c>
      <c r="AM46" s="52" cm="1">
        <f t="array" ref="AM46">COUNTA(TaxPools!AM$5:AM$195)-SUM(--_xlfn.ISFORMULA(TaxPools!AM$5:AM$195))</f>
        <v>0</v>
      </c>
      <c r="AN46" s="52" cm="1">
        <f t="array" ref="AN46">COUNTA(TaxPools!AN$5:AN$195)-SUM(--_xlfn.ISFORMULA(TaxPools!AN$5:AN$195))</f>
        <v>0</v>
      </c>
      <c r="AO46" s="52" cm="1">
        <f t="array" ref="AO46">COUNTA(TaxPools!AO$5:AO$195)-SUM(--_xlfn.ISFORMULA(TaxPools!AO$5:AO$195))</f>
        <v>0</v>
      </c>
      <c r="AP46" s="52" cm="1">
        <f t="array" ref="AP46">COUNTA(TaxPools!AP$5:AP$195)-SUM(--_xlfn.ISFORMULA(TaxPools!AP$5:AP$195))</f>
        <v>0</v>
      </c>
      <c r="AQ46" s="52" cm="1">
        <f t="array" ref="AQ46">COUNTA(TaxPools!AQ$5:AQ$195)-SUM(--_xlfn.ISFORMULA(TaxPools!AQ$5:AQ$195))</f>
        <v>0</v>
      </c>
      <c r="AR46" s="52" cm="1">
        <f t="array" ref="AR46">COUNTA(TaxPools!AR$5:AR$195)-SUM(--_xlfn.ISFORMULA(TaxPools!AR$5:AR$195))</f>
        <v>0</v>
      </c>
      <c r="AS46" s="52" cm="1">
        <f t="array" ref="AS46">COUNTA(TaxPools!AS$5:AS$195)-SUM(--_xlfn.ISFORMULA(TaxPools!AS$5:AS$195))</f>
        <v>0</v>
      </c>
      <c r="AT46" s="191" cm="1">
        <f t="array" ref="AT46">COUNTA(TaxPools!AT$5:AT$195)-SUM(--_xlfn.ISFORMULA(TaxPools!AT$5:AT$195))</f>
        <v>0</v>
      </c>
      <c r="AU46" s="172" cm="1">
        <f t="array" aca="1" ref="AU46" ca="1">COUNTA(TaxPools!AU$5:AU$195)-SUM(--_xlfn.ISFORMULA(TaxPools!AU$5:AU$195))</f>
        <v>0</v>
      </c>
      <c r="AV46" s="52" cm="1">
        <f t="array" aca="1" ref="AV46" ca="1">COUNTA(TaxPools!AV$5:AV$195)-SUM(--_xlfn.ISFORMULA(TaxPools!AV$5:AV$195))</f>
        <v>0</v>
      </c>
      <c r="AW46" s="52" cm="1">
        <f t="array" aca="1" ref="AW46" ca="1">COUNTA(TaxPools!AW$5:AW$195)-SUM(--_xlfn.ISFORMULA(TaxPools!AW$5:AW$195))</f>
        <v>0</v>
      </c>
      <c r="AX46" s="52" cm="1">
        <f t="array" aca="1" ref="AX46" ca="1">COUNTA(TaxPools!AX$5:AX$195)-SUM(--_xlfn.ISFORMULA(TaxPools!AX$5:AX$195))</f>
        <v>0</v>
      </c>
      <c r="AY46" s="52" cm="1">
        <f t="array" aca="1" ref="AY46" ca="1">COUNTA(TaxPools!AY$5:AY$195)-SUM(--_xlfn.ISFORMULA(TaxPools!AY$5:AY$195))</f>
        <v>0</v>
      </c>
    </row>
    <row r="47" spans="1:51" customFormat="1" ht="14.5">
      <c r="E47" t="s">
        <v>95</v>
      </c>
      <c r="I47" s="52" cm="1">
        <f t="array" ref="I47">COUNTA(Finance!I$5:I$205)-SUM(--_xlfn.ISFORMULA(Finance!I$5:I$205))</f>
        <v>0</v>
      </c>
      <c r="K47" s="52" cm="1">
        <f t="array" ref="K47">COUNTA(Finance!K$5:K$205)-SUM(--_xlfn.ISFORMULA(Finance!K$5:K$205))</f>
        <v>0</v>
      </c>
      <c r="L47" s="52" cm="1">
        <f t="array" ref="L47">COUNTA(Finance!L$5:L$205)-SUM(--_xlfn.ISFORMULA(Finance!L$5:L$205))</f>
        <v>0</v>
      </c>
      <c r="M47" s="52" cm="1">
        <f t="array" ref="M47">COUNTA(Finance!M$5:M$205)-SUM(--_xlfn.ISFORMULA(Finance!M$5:M$205))</f>
        <v>0</v>
      </c>
      <c r="N47" s="52" cm="1">
        <f t="array" ref="N47">COUNTA(Finance!N$5:N$205)-SUM(--_xlfn.ISFORMULA(Finance!N$5:N$205))</f>
        <v>0</v>
      </c>
      <c r="O47" s="52" cm="1">
        <f t="array" ref="O47">COUNTA(Finance!O$5:O$205)-SUM(--_xlfn.ISFORMULA(Finance!O$5:O$205))</f>
        <v>0</v>
      </c>
      <c r="P47" s="52" cm="1">
        <f t="array" ref="P47">COUNTA(Finance!P$5:P$205)-SUM(--_xlfn.ISFORMULA(Finance!P$5:P$205))</f>
        <v>0</v>
      </c>
      <c r="Q47" s="52" cm="1">
        <f t="array" ref="Q47">COUNTA(Finance!Q$5:Q$205)-SUM(--_xlfn.ISFORMULA(Finance!Q$5:Q$205))</f>
        <v>0</v>
      </c>
      <c r="R47" s="52" cm="1">
        <f t="array" ref="R47">COUNTA(Finance!R$5:R$205)-SUM(--_xlfn.ISFORMULA(Finance!R$5:R$205))</f>
        <v>0</v>
      </c>
      <c r="S47" s="52" cm="1">
        <f t="array" ref="S47">COUNTA(Finance!S$5:S$205)-SUM(--_xlfn.ISFORMULA(Finance!S$5:S$205))</f>
        <v>0</v>
      </c>
      <c r="T47" s="52" cm="1">
        <f t="array" ref="T47">COUNTA(Finance!T$5:T$205)-SUM(--_xlfn.ISFORMULA(Finance!T$5:T$205))</f>
        <v>0</v>
      </c>
      <c r="U47" s="52" cm="1">
        <f t="array" ref="U47">COUNTA(Finance!U$5:U$205)-SUM(--_xlfn.ISFORMULA(Finance!U$5:U$205))</f>
        <v>0</v>
      </c>
      <c r="V47" s="52" cm="1">
        <f t="array" ref="V47">COUNTA(Finance!V$5:V$205)-SUM(--_xlfn.ISFORMULA(Finance!V$5:V$205))</f>
        <v>0</v>
      </c>
      <c r="W47" s="52" cm="1">
        <f t="array" ref="W47">COUNTA(Finance!W$5:W$205)-SUM(--_xlfn.ISFORMULA(Finance!W$5:W$205))</f>
        <v>0</v>
      </c>
      <c r="X47" s="52" cm="1">
        <f t="array" ref="X47">COUNTA(Finance!X$5:X$205)-SUM(--_xlfn.ISFORMULA(Finance!X$5:X$205))</f>
        <v>0</v>
      </c>
      <c r="Y47" s="52" cm="1">
        <f t="array" ref="Y47">COUNTA(Finance!Y$5:Y$205)-SUM(--_xlfn.ISFORMULA(Finance!Y$5:Y$205))</f>
        <v>0</v>
      </c>
      <c r="Z47" s="52" cm="1">
        <f t="array" ref="Z47">COUNTA(Finance!Z$5:Z$205)-SUM(--_xlfn.ISFORMULA(Finance!Z$5:Z$205))</f>
        <v>0</v>
      </c>
      <c r="AA47" s="52" cm="1">
        <f t="array" ref="AA47">COUNTA(Finance!AA$5:AA$205)-SUM(--_xlfn.ISFORMULA(Finance!AA$5:AA$205))</f>
        <v>0</v>
      </c>
      <c r="AB47" s="52" cm="1">
        <f t="array" ref="AB47">COUNTA(Finance!AB$5:AB$205)-SUM(--_xlfn.ISFORMULA(Finance!AB$5:AB$205))</f>
        <v>0</v>
      </c>
      <c r="AC47" s="52" cm="1">
        <f t="array" ref="AC47">COUNTA(Finance!AC$5:AC$205)-SUM(--_xlfn.ISFORMULA(Finance!AC$5:AC$205))</f>
        <v>0</v>
      </c>
      <c r="AD47" s="52" cm="1">
        <f t="array" ref="AD47">COUNTA(Finance!AD$5:AD$205)-SUM(--_xlfn.ISFORMULA(Finance!AD$5:AD$205))</f>
        <v>0</v>
      </c>
      <c r="AE47" s="52" cm="1">
        <f t="array" ref="AE47">COUNTA(Finance!AE$5:AE$205)-SUM(--_xlfn.ISFORMULA(Finance!AE$5:AE$205))</f>
        <v>0</v>
      </c>
      <c r="AF47" s="52" cm="1">
        <f t="array" ref="AF47">COUNTA(Finance!AF$5:AF$205)-SUM(--_xlfn.ISFORMULA(Finance!AF$5:AF$205))</f>
        <v>0</v>
      </c>
      <c r="AG47" s="52" cm="1">
        <f t="array" ref="AG47">COUNTA(Finance!AG$5:AG$205)-SUM(--_xlfn.ISFORMULA(Finance!AG$5:AG$205))</f>
        <v>0</v>
      </c>
      <c r="AH47" s="52" cm="1">
        <f t="array" ref="AH47">COUNTA(Finance!AH$5:AH$205)-SUM(--_xlfn.ISFORMULA(Finance!AH$5:AH$205))</f>
        <v>0</v>
      </c>
      <c r="AI47" s="52" cm="1">
        <f t="array" ref="AI47">COUNTA(Finance!AI$5:AI$205)-SUM(--_xlfn.ISFORMULA(Finance!AI$5:AI$205))</f>
        <v>0</v>
      </c>
      <c r="AJ47" s="52" cm="1">
        <f t="array" ref="AJ47">COUNTA(Finance!AJ$5:AJ$205)-SUM(--_xlfn.ISFORMULA(Finance!AJ$5:AJ$205))</f>
        <v>0</v>
      </c>
      <c r="AK47" s="52" cm="1">
        <f t="array" ref="AK47">COUNTA(Finance!AK$5:AK$205)-SUM(--_xlfn.ISFORMULA(Finance!AK$5:AK$205))</f>
        <v>0</v>
      </c>
      <c r="AL47" s="52" cm="1">
        <f t="array" ref="AL47">COUNTA(Finance!AL$5:AL$205)-SUM(--_xlfn.ISFORMULA(Finance!AL$5:AL$205))</f>
        <v>0</v>
      </c>
      <c r="AM47" s="52" cm="1">
        <f t="array" ref="AM47">COUNTA(Finance!AM$5:AM$205)-SUM(--_xlfn.ISFORMULA(Finance!AM$5:AM$205))</f>
        <v>0</v>
      </c>
      <c r="AN47" s="52" cm="1">
        <f t="array" ref="AN47">COUNTA(Finance!AN$5:AN$205)-SUM(--_xlfn.ISFORMULA(Finance!AN$5:AN$205))</f>
        <v>0</v>
      </c>
      <c r="AO47" s="52" cm="1">
        <f t="array" ref="AO47">COUNTA(Finance!AO$5:AO$205)-SUM(--_xlfn.ISFORMULA(Finance!AO$5:AO$205))</f>
        <v>0</v>
      </c>
      <c r="AP47" s="52" cm="1">
        <f t="array" ref="AP47">COUNTA(Finance!AP$5:AP$205)-SUM(--_xlfn.ISFORMULA(Finance!AP$5:AP$205))</f>
        <v>0</v>
      </c>
      <c r="AQ47" s="52" cm="1">
        <f t="array" ref="AQ47">COUNTA(Finance!AQ$5:AQ$205)-SUM(--_xlfn.ISFORMULA(Finance!AQ$5:AQ$205))</f>
        <v>0</v>
      </c>
      <c r="AR47" s="52" cm="1">
        <f t="array" ref="AR47">COUNTA(Finance!AR$5:AR$205)-SUM(--_xlfn.ISFORMULA(Finance!AR$5:AR$205))</f>
        <v>0</v>
      </c>
      <c r="AS47" s="52" cm="1">
        <f t="array" ref="AS47">COUNTA(Finance!AS$5:AS$205)-SUM(--_xlfn.ISFORMULA(Finance!AS$5:AS$205))</f>
        <v>0</v>
      </c>
      <c r="AT47" s="191" cm="1">
        <f t="array" ref="AT47">COUNTA(Finance!AT$5:AT$205)-SUM(--_xlfn.ISFORMULA(Finance!AT$5:AT$205))</f>
        <v>0</v>
      </c>
      <c r="AU47" s="172" cm="1">
        <f t="array" aca="1" ref="AU47" ca="1">COUNTA(Finance!AU$5:AU$205)-SUM(--_xlfn.ISFORMULA(Finance!AU$5:AU$205))</f>
        <v>0</v>
      </c>
      <c r="AV47" s="52" cm="1">
        <f t="array" aca="1" ref="AV47" ca="1">COUNTA(Finance!AV$5:AV$205)-SUM(--_xlfn.ISFORMULA(Finance!AV$5:AV$205))</f>
        <v>0</v>
      </c>
      <c r="AW47" s="52" cm="1">
        <f t="array" aca="1" ref="AW47" ca="1">COUNTA(Finance!AW$5:AW$205)-SUM(--_xlfn.ISFORMULA(Finance!AW$5:AW$205))</f>
        <v>0</v>
      </c>
      <c r="AX47" s="52" cm="1">
        <f t="array" aca="1" ref="AX47" ca="1">COUNTA(Finance!AX$5:AX$205)-SUM(--_xlfn.ISFORMULA(Finance!AX$5:AX$205))</f>
        <v>0</v>
      </c>
      <c r="AY47" s="52" cm="1">
        <f t="array" aca="1" ref="AY47" ca="1">COUNTA(Finance!AY$5:AY$205)-SUM(--_xlfn.ISFORMULA(Finance!AY$5:AY$205))</f>
        <v>0</v>
      </c>
    </row>
    <row r="48" spans="1:51" customFormat="1" ht="14.5">
      <c r="E48" t="s">
        <v>277</v>
      </c>
      <c r="I48" s="137" cm="1">
        <f t="array" ref="I48">COUNTA(Tax!I$5:I$198)-SUM(--_xlfn.ISFORMULA(Tax!I$5:I$198))</f>
        <v>0</v>
      </c>
      <c r="K48" s="52" cm="1">
        <f t="array" ref="K48">COUNTA(Tax!K$5:K$198)-SUM(--_xlfn.ISFORMULA(Tax!K$5:K$198))</f>
        <v>0</v>
      </c>
      <c r="L48" s="52" cm="1">
        <f t="array" ref="L48">COUNTA(Tax!L$5:L$198)-SUM(--_xlfn.ISFORMULA(Tax!L$5:L$198))</f>
        <v>0</v>
      </c>
      <c r="M48" s="52" cm="1">
        <f t="array" ref="M48">COUNTA(Tax!M$5:M$198)-SUM(--_xlfn.ISFORMULA(Tax!M$5:M$198))</f>
        <v>0</v>
      </c>
      <c r="N48" s="52" cm="1">
        <f t="array" ref="N48">COUNTA(Tax!N$5:N$198)-SUM(--_xlfn.ISFORMULA(Tax!N$5:N$198))</f>
        <v>0</v>
      </c>
      <c r="O48" s="52" cm="1">
        <f t="array" ref="O48">COUNTA(Tax!O$5:O$198)-SUM(--_xlfn.ISFORMULA(Tax!O$5:O$198))</f>
        <v>0</v>
      </c>
      <c r="P48" s="52" cm="1">
        <f t="array" ref="P48">COUNTA(Tax!P$5:P$198)-SUM(--_xlfn.ISFORMULA(Tax!P$5:P$198))</f>
        <v>0</v>
      </c>
      <c r="Q48" s="52" cm="1">
        <f t="array" ref="Q48">COUNTA(Tax!Q$5:Q$198)-SUM(--_xlfn.ISFORMULA(Tax!Q$5:Q$198))</f>
        <v>0</v>
      </c>
      <c r="R48" s="52" cm="1">
        <f t="array" ref="R48">COUNTA(Tax!R$5:R$198)-SUM(--_xlfn.ISFORMULA(Tax!R$5:R$198))</f>
        <v>0</v>
      </c>
      <c r="S48" s="52" cm="1">
        <f t="array" ref="S48">COUNTA(Tax!S$5:S$198)-SUM(--_xlfn.ISFORMULA(Tax!S$5:S$198))</f>
        <v>0</v>
      </c>
      <c r="T48" s="52" cm="1">
        <f t="array" ref="T48">COUNTA(Tax!T$5:T$198)-SUM(--_xlfn.ISFORMULA(Tax!T$5:T$198))</f>
        <v>0</v>
      </c>
      <c r="U48" s="52" cm="1">
        <f t="array" ref="U48">COUNTA(Tax!U$5:U$198)-SUM(--_xlfn.ISFORMULA(Tax!U$5:U$198))</f>
        <v>0</v>
      </c>
      <c r="V48" s="52" cm="1">
        <f t="array" ref="V48">COUNTA(Tax!V$5:V$198)-SUM(--_xlfn.ISFORMULA(Tax!V$5:V$198))</f>
        <v>0</v>
      </c>
      <c r="W48" s="52" cm="1">
        <f t="array" ref="W48">COUNTA(Tax!W$5:W$198)-SUM(--_xlfn.ISFORMULA(Tax!W$5:W$198))</f>
        <v>0</v>
      </c>
      <c r="X48" s="52" cm="1">
        <f t="array" ref="X48">COUNTA(Tax!X$5:X$198)-SUM(--_xlfn.ISFORMULA(Tax!X$5:X$198))</f>
        <v>0</v>
      </c>
      <c r="Y48" s="52" cm="1">
        <f t="array" ref="Y48">COUNTA(Tax!Y$5:Y$198)-SUM(--_xlfn.ISFORMULA(Tax!Y$5:Y$198))</f>
        <v>0</v>
      </c>
      <c r="Z48" s="52" cm="1">
        <f t="array" ref="Z48">COUNTA(Tax!Z$5:Z$198)-SUM(--_xlfn.ISFORMULA(Tax!Z$5:Z$198))</f>
        <v>0</v>
      </c>
      <c r="AA48" s="52" cm="1">
        <f t="array" ref="AA48">COUNTA(Tax!AA$5:AA$198)-SUM(--_xlfn.ISFORMULA(Tax!AA$5:AA$198))</f>
        <v>0</v>
      </c>
      <c r="AB48" s="52" cm="1">
        <f t="array" ref="AB48">COUNTA(Tax!AB$5:AB$198)-SUM(--_xlfn.ISFORMULA(Tax!AB$5:AB$198))</f>
        <v>0</v>
      </c>
      <c r="AC48" s="52" cm="1">
        <f t="array" ref="AC48">COUNTA(Tax!AC$5:AC$198)-SUM(--_xlfn.ISFORMULA(Tax!AC$5:AC$198))</f>
        <v>0</v>
      </c>
      <c r="AD48" s="52" cm="1">
        <f t="array" ref="AD48">COUNTA(Tax!AD$5:AD$198)-SUM(--_xlfn.ISFORMULA(Tax!AD$5:AD$198))</f>
        <v>0</v>
      </c>
      <c r="AE48" s="52" cm="1">
        <f t="array" ref="AE48">COUNTA(Tax!AE$5:AE$198)-SUM(--_xlfn.ISFORMULA(Tax!AE$5:AE$198))</f>
        <v>0</v>
      </c>
      <c r="AF48" s="52" cm="1">
        <f t="array" ref="AF48">COUNTA(Tax!AF$5:AF$198)-SUM(--_xlfn.ISFORMULA(Tax!AF$5:AF$198))</f>
        <v>0</v>
      </c>
      <c r="AG48" s="52" cm="1">
        <f t="array" ref="AG48">COUNTA(Tax!AG$5:AG$198)-SUM(--_xlfn.ISFORMULA(Tax!AG$5:AG$198))</f>
        <v>0</v>
      </c>
      <c r="AH48" s="52" cm="1">
        <f t="array" ref="AH48">COUNTA(Tax!AH$5:AH$198)-SUM(--_xlfn.ISFORMULA(Tax!AH$5:AH$198))</f>
        <v>0</v>
      </c>
      <c r="AI48" s="52" cm="1">
        <f t="array" ref="AI48">COUNTA(Tax!AI$5:AI$198)-SUM(--_xlfn.ISFORMULA(Tax!AI$5:AI$198))</f>
        <v>0</v>
      </c>
      <c r="AJ48" s="52" cm="1">
        <f t="array" ref="AJ48">COUNTA(Tax!AJ$5:AJ$198)-SUM(--_xlfn.ISFORMULA(Tax!AJ$5:AJ$198))</f>
        <v>0</v>
      </c>
      <c r="AK48" s="52" cm="1">
        <f t="array" ref="AK48">COUNTA(Tax!AK$5:AK$198)-SUM(--_xlfn.ISFORMULA(Tax!AK$5:AK$198))</f>
        <v>0</v>
      </c>
      <c r="AL48" s="52" cm="1">
        <f t="array" ref="AL48">COUNTA(Tax!AL$5:AL$198)-SUM(--_xlfn.ISFORMULA(Tax!AL$5:AL$198))</f>
        <v>0</v>
      </c>
      <c r="AM48" s="52" cm="1">
        <f t="array" ref="AM48">COUNTA(Tax!AM$5:AM$198)-SUM(--_xlfn.ISFORMULA(Tax!AM$5:AM$198))</f>
        <v>0</v>
      </c>
      <c r="AN48" s="52" cm="1">
        <f t="array" ref="AN48">COUNTA(Tax!AN$5:AN$198)-SUM(--_xlfn.ISFORMULA(Tax!AN$5:AN$198))</f>
        <v>0</v>
      </c>
      <c r="AO48" s="52" cm="1">
        <f t="array" ref="AO48">COUNTA(Tax!AO$5:AO$198)-SUM(--_xlfn.ISFORMULA(Tax!AO$5:AO$198))</f>
        <v>0</v>
      </c>
      <c r="AP48" s="52" cm="1">
        <f t="array" ref="AP48">COUNTA(Tax!AP$5:AP$198)-SUM(--_xlfn.ISFORMULA(Tax!AP$5:AP$198))</f>
        <v>0</v>
      </c>
      <c r="AQ48" s="52" cm="1">
        <f t="array" ref="AQ48">COUNTA(Tax!AQ$5:AQ$198)-SUM(--_xlfn.ISFORMULA(Tax!AQ$5:AQ$198))</f>
        <v>0</v>
      </c>
      <c r="AR48" s="52" cm="1">
        <f t="array" ref="AR48">COUNTA(Tax!AR$5:AR$198)-SUM(--_xlfn.ISFORMULA(Tax!AR$5:AR$198))</f>
        <v>0</v>
      </c>
      <c r="AS48" s="52" cm="1">
        <f t="array" ref="AS48">COUNTA(Tax!AS$5:AS$198)-SUM(--_xlfn.ISFORMULA(Tax!AS$5:AS$198))</f>
        <v>0</v>
      </c>
      <c r="AT48" s="191" cm="1">
        <f t="array" ref="AT48">COUNTA(Tax!AT$5:AT$198)-SUM(--_xlfn.ISFORMULA(Tax!AT$5:AT$198))</f>
        <v>0</v>
      </c>
      <c r="AU48" s="172" cm="1">
        <f t="array" aca="1" ref="AU48" ca="1">COUNTA(Tax!AU$5:AU$198)-SUM(--_xlfn.ISFORMULA(Tax!AU$5:AU$198))</f>
        <v>0</v>
      </c>
      <c r="AV48" s="52" cm="1">
        <f t="array" aca="1" ref="AV48" ca="1">COUNTA(Tax!AV$5:AV$198)-SUM(--_xlfn.ISFORMULA(Tax!AV$5:AV$198))</f>
        <v>0</v>
      </c>
      <c r="AW48" s="52" cm="1">
        <f t="array" aca="1" ref="AW48" ca="1">COUNTA(Tax!AW$5:AW$198)-SUM(--_xlfn.ISFORMULA(Tax!AW$5:AW$198))</f>
        <v>0</v>
      </c>
      <c r="AX48" s="52" cm="1">
        <f t="array" aca="1" ref="AX48" ca="1">COUNTA(Tax!AX$5:AX$198)-SUM(--_xlfn.ISFORMULA(Tax!AX$5:AX$198))</f>
        <v>0</v>
      </c>
      <c r="AY48" s="52" cm="1">
        <f t="array" aca="1" ref="AY48" ca="1">COUNTA(Tax!AY$5:AY$198)-SUM(--_xlfn.ISFORMULA(Tax!AY$5:AY$198))</f>
        <v>0</v>
      </c>
    </row>
    <row r="49" spans="1:51" customFormat="1" ht="14.5">
      <c r="E49" t="s">
        <v>604</v>
      </c>
      <c r="I49" s="139" cm="1">
        <f t="array" ref="I49">COUNTA(Calculations_SO!I$5:I$505)-SUM(--_xlfn.ISFORMULA(Calculations_SO!I$5:I$505))-27</f>
        <v>0</v>
      </c>
      <c r="K49" s="52" cm="1">
        <f t="array" ref="K49">COUNTA(Calculations_SO!K$5:K$505)-SUM(--_xlfn.ISFORMULA(Calculations_SO!K$5:K$505))</f>
        <v>0</v>
      </c>
      <c r="L49" s="52" cm="1">
        <f t="array" ref="L49">COUNTA(Calculations_SO!L$5:L$505)-SUM(--_xlfn.ISFORMULA(Calculations_SO!L$5:L$505))</f>
        <v>0</v>
      </c>
      <c r="M49" s="52" cm="1">
        <f t="array" ref="M49">COUNTA(Calculations_SO!M$5:M$505)-SUM(--_xlfn.ISFORMULA(Calculations_SO!M$5:M$505))</f>
        <v>0</v>
      </c>
      <c r="N49" s="52" cm="1">
        <f t="array" ref="N49">COUNTA(Calculations_SO!N$5:N$505)-SUM(--_xlfn.ISFORMULA(Calculations_SO!N$5:N$505))</f>
        <v>0</v>
      </c>
      <c r="O49" s="52" cm="1">
        <f t="array" ref="O49">COUNTA(Calculations_SO!O$5:O$505)-SUM(--_xlfn.ISFORMULA(Calculations_SO!O$5:O$505))</f>
        <v>0</v>
      </c>
      <c r="P49" s="52" cm="1">
        <f t="array" ref="P49">COUNTA(Calculations_SO!P$5:P$505)-SUM(--_xlfn.ISFORMULA(Calculations_SO!P$5:P$505))</f>
        <v>0</v>
      </c>
      <c r="Q49" s="52" cm="1">
        <f t="array" ref="Q49">COUNTA(Calculations_SO!Q$5:Q$505)-SUM(--_xlfn.ISFORMULA(Calculations_SO!Q$5:Q$505))</f>
        <v>0</v>
      </c>
      <c r="R49" s="52" cm="1">
        <f t="array" ref="R49">COUNTA(Calculations_SO!R$5:R$505)-SUM(--_xlfn.ISFORMULA(Calculations_SO!R$5:R$505))</f>
        <v>0</v>
      </c>
      <c r="S49" s="52" cm="1">
        <f t="array" ref="S49">COUNTA(Calculations_SO!S$5:S$505)-SUM(--_xlfn.ISFORMULA(Calculations_SO!S$5:S$505))</f>
        <v>0</v>
      </c>
      <c r="T49" s="52" cm="1">
        <f t="array" ref="T49">COUNTA(Calculations_SO!T$5:T$505)-SUM(--_xlfn.ISFORMULA(Calculations_SO!T$5:T$505))</f>
        <v>0</v>
      </c>
      <c r="U49" s="52" cm="1">
        <f t="array" ref="U49">COUNTA(Calculations_SO!U$5:U$505)-SUM(--_xlfn.ISFORMULA(Calculations_SO!U$5:U$505))</f>
        <v>0</v>
      </c>
      <c r="V49" s="52" cm="1">
        <f t="array" ref="V49">COUNTA(Calculations_SO!V$5:V$505)-SUM(--_xlfn.ISFORMULA(Calculations_SO!V$5:V$505))</f>
        <v>0</v>
      </c>
      <c r="W49" s="52" cm="1">
        <f t="array" ref="W49">COUNTA(Calculations_SO!W$5:W$505)-SUM(--_xlfn.ISFORMULA(Calculations_SO!W$5:W$505))</f>
        <v>0</v>
      </c>
      <c r="X49" s="52" cm="1">
        <f t="array" ref="X49">COUNTA(Calculations_SO!X$5:X$505)-SUM(--_xlfn.ISFORMULA(Calculations_SO!X$5:X$505))</f>
        <v>0</v>
      </c>
      <c r="Y49" s="52" cm="1">
        <f t="array" ref="Y49">COUNTA(Calculations_SO!Y$5:Y$505)-SUM(--_xlfn.ISFORMULA(Calculations_SO!Y$5:Y$505))</f>
        <v>0</v>
      </c>
      <c r="Z49" s="52" cm="1">
        <f t="array" ref="Z49">COUNTA(Calculations_SO!Z$5:Z$505)-SUM(--_xlfn.ISFORMULA(Calculations_SO!Z$5:Z$505))</f>
        <v>0</v>
      </c>
      <c r="AA49" s="52" cm="1">
        <f t="array" ref="AA49">COUNTA(Calculations_SO!AA$5:AA$505)-SUM(--_xlfn.ISFORMULA(Calculations_SO!AA$5:AA$505))</f>
        <v>0</v>
      </c>
      <c r="AB49" s="52" cm="1">
        <f t="array" ref="AB49">COUNTA(Calculations_SO!AB$5:AB$505)-SUM(--_xlfn.ISFORMULA(Calculations_SO!AB$5:AB$505))</f>
        <v>0</v>
      </c>
      <c r="AC49" s="52" cm="1">
        <f t="array" ref="AC49">COUNTA(Calculations_SO!AC$5:AC$505)-SUM(--_xlfn.ISFORMULA(Calculations_SO!AC$5:AC$505))</f>
        <v>0</v>
      </c>
      <c r="AD49" s="52" cm="1">
        <f t="array" ref="AD49">COUNTA(Calculations_SO!AD$5:AD$505)-SUM(--_xlfn.ISFORMULA(Calculations_SO!AD$5:AD$505))</f>
        <v>0</v>
      </c>
      <c r="AE49" s="52" cm="1">
        <f t="array" ref="AE49">COUNTA(Calculations_SO!AE$5:AE$505)-SUM(--_xlfn.ISFORMULA(Calculations_SO!AE$5:AE$505))</f>
        <v>0</v>
      </c>
      <c r="AF49" s="52" cm="1">
        <f t="array" ref="AF49">COUNTA(Calculations_SO!AF$5:AF$505)-SUM(--_xlfn.ISFORMULA(Calculations_SO!AF$5:AF$505))</f>
        <v>0</v>
      </c>
      <c r="AG49" s="52" cm="1">
        <f t="array" ref="AG49">COUNTA(Calculations_SO!AG$5:AG$505)-SUM(--_xlfn.ISFORMULA(Calculations_SO!AG$5:AG$505))</f>
        <v>0</v>
      </c>
      <c r="AH49" s="52" cm="1">
        <f t="array" ref="AH49">COUNTA(Calculations_SO!AH$5:AH$505)-SUM(--_xlfn.ISFORMULA(Calculations_SO!AH$5:AH$505))</f>
        <v>0</v>
      </c>
      <c r="AI49" s="52" cm="1">
        <f t="array" ref="AI49">COUNTA(Calculations_SO!AI$5:AI$505)-SUM(--_xlfn.ISFORMULA(Calculations_SO!AI$5:AI$505))</f>
        <v>0</v>
      </c>
      <c r="AJ49" s="52" cm="1">
        <f t="array" ref="AJ49">COUNTA(Calculations_SO!AJ$5:AJ$505)-SUM(--_xlfn.ISFORMULA(Calculations_SO!AJ$5:AJ$505))</f>
        <v>0</v>
      </c>
      <c r="AK49" s="52" cm="1">
        <f t="array" ref="AK49">COUNTA(Calculations_SO!AK$5:AK$505)-SUM(--_xlfn.ISFORMULA(Calculations_SO!AK$5:AK$505))</f>
        <v>0</v>
      </c>
      <c r="AL49" s="52" cm="1">
        <f t="array" ref="AL49">COUNTA(Calculations_SO!AL$5:AL$505)-SUM(--_xlfn.ISFORMULA(Calculations_SO!AL$5:AL$505))</f>
        <v>0</v>
      </c>
      <c r="AM49" s="52" cm="1">
        <f t="array" ref="AM49">COUNTA(Calculations_SO!AM$5:AM$505)-SUM(--_xlfn.ISFORMULA(Calculations_SO!AM$5:AM$505))</f>
        <v>0</v>
      </c>
      <c r="AN49" s="52" cm="1">
        <f t="array" ref="AN49">COUNTA(Calculations_SO!AN$5:AN$505)-SUM(--_xlfn.ISFORMULA(Calculations_SO!AN$5:AN$505))</f>
        <v>0</v>
      </c>
      <c r="AO49" s="52" cm="1">
        <f t="array" ref="AO49">COUNTA(Calculations_SO!AO$5:AO$505)-SUM(--_xlfn.ISFORMULA(Calculations_SO!AO$5:AO$505))</f>
        <v>0</v>
      </c>
      <c r="AP49" s="52" cm="1">
        <f t="array" ref="AP49">COUNTA(Calculations_SO!AP$5:AP$505)-SUM(--_xlfn.ISFORMULA(Calculations_SO!AP$5:AP$505))</f>
        <v>0</v>
      </c>
      <c r="AQ49" s="52" cm="1">
        <f t="array" ref="AQ49">COUNTA(Calculations_SO!AQ$5:AQ$505)-SUM(--_xlfn.ISFORMULA(Calculations_SO!AQ$5:AQ$505))</f>
        <v>0</v>
      </c>
      <c r="AR49" s="52" cm="1">
        <f t="array" ref="AR49">COUNTA(Calculations_SO!AR$5:AR$505)-SUM(--_xlfn.ISFORMULA(Calculations_SO!AR$5:AR$505))</f>
        <v>0</v>
      </c>
      <c r="AS49" s="52" cm="1">
        <f t="array" ref="AS49">COUNTA(Calculations_SO!AS$5:AS$505)-SUM(--_xlfn.ISFORMULA(Calculations_SO!AS$5:AS$505))</f>
        <v>0</v>
      </c>
      <c r="AT49" s="191" cm="1">
        <f t="array" ref="AT49">COUNTA(Calculations_SO!AT$5:AT$505)-SUM(--_xlfn.ISFORMULA(Calculations_SO!AT$5:AT$505))</f>
        <v>0</v>
      </c>
      <c r="AU49" s="172" cm="1">
        <f t="array" aca="1" ref="AU49" ca="1">COUNTA(Calculations_SO!AU$5:AU$505)-SUM(--_xlfn.ISFORMULA(Calculations_SO!AU$5:AU$505))</f>
        <v>0</v>
      </c>
      <c r="AV49" s="52" cm="1">
        <f t="array" aca="1" ref="AV49" ca="1">COUNTA(Calculations_SO!AV$5:AV$505)-SUM(--_xlfn.ISFORMULA(Calculations_SO!AV$5:AV$505))</f>
        <v>0</v>
      </c>
      <c r="AW49" s="52" cm="1">
        <f t="array" aca="1" ref="AW49" ca="1">COUNTA(Calculations_SO!AW$5:AW$505)-SUM(--_xlfn.ISFORMULA(Calculations_SO!AW$5:AW$505))</f>
        <v>0</v>
      </c>
      <c r="AX49" s="52" cm="1">
        <f t="array" aca="1" ref="AX49" ca="1">COUNTA(Calculations_SO!AX$5:AX$505)-SUM(--_xlfn.ISFORMULA(Calculations_SO!AX$5:AX$505))</f>
        <v>0</v>
      </c>
      <c r="AY49" s="52" cm="1">
        <f t="array" aca="1" ref="AY49" ca="1">COUNTA(Calculations_SO!AY$5:AY$505)-SUM(--_xlfn.ISFORMULA(Calculations_SO!AY$5:AY$505))</f>
        <v>0</v>
      </c>
    </row>
    <row r="50" spans="1:51" customFormat="1" ht="14.5">
      <c r="E50" t="s">
        <v>759</v>
      </c>
      <c r="I50" s="138" cm="1">
        <f t="array" ref="I50">COUNTA(ReturnAdj!I$5:I$201)-SUM(--_xlfn.ISFORMULA(ReturnAdj!I$5:I$201))</f>
        <v>0</v>
      </c>
      <c r="K50" s="138" cm="1">
        <f t="array" ref="K50">COUNTA(ReturnAdj!K$5:K$201)-SUM(--_xlfn.ISFORMULA(ReturnAdj!K$5:K$201))</f>
        <v>0</v>
      </c>
      <c r="L50" s="138" cm="1">
        <f t="array" ref="L50">COUNTA(ReturnAdj!L$5:L$201)-SUM(--_xlfn.ISFORMULA(ReturnAdj!L$5:L$201))</f>
        <v>0</v>
      </c>
      <c r="M50" s="138" cm="1">
        <f t="array" ref="M50">COUNTA(ReturnAdj!M$5:M$201)-SUM(--_xlfn.ISFORMULA(ReturnAdj!M$5:M$201))</f>
        <v>0</v>
      </c>
      <c r="N50" s="138" cm="1">
        <f t="array" ref="N50">COUNTA(ReturnAdj!N$5:N$201)-SUM(--_xlfn.ISFORMULA(ReturnAdj!N$5:N$201))</f>
        <v>0</v>
      </c>
      <c r="O50" s="138" cm="1">
        <f t="array" ref="O50">COUNTA(ReturnAdj!O$5:O$201)-SUM(--_xlfn.ISFORMULA(ReturnAdj!O$5:O$201))</f>
        <v>0</v>
      </c>
      <c r="P50" s="138" cm="1">
        <f t="array" ref="P50">COUNTA(ReturnAdj!P$5:P$201)-SUM(--_xlfn.ISFORMULA(ReturnAdj!P$5:P$201))</f>
        <v>0</v>
      </c>
      <c r="Q50" s="138" cm="1">
        <f t="array" ref="Q50">COUNTA(ReturnAdj!Q$5:Q$201)-SUM(--_xlfn.ISFORMULA(ReturnAdj!Q$5:Q$201))</f>
        <v>0</v>
      </c>
      <c r="R50" s="138" cm="1">
        <f t="array" ref="R50">COUNTA(ReturnAdj!R$5:R$201)-SUM(--_xlfn.ISFORMULA(ReturnAdj!R$5:R$201))</f>
        <v>0</v>
      </c>
      <c r="S50" s="138" cm="1">
        <f t="array" ref="S50">COUNTA(ReturnAdj!S$5:S$201)-SUM(--_xlfn.ISFORMULA(ReturnAdj!S$5:S$201))</f>
        <v>0</v>
      </c>
      <c r="T50" s="138" cm="1">
        <f t="array" ref="T50">COUNTA(ReturnAdj!T$5:T$201)-SUM(--_xlfn.ISFORMULA(ReturnAdj!T$5:T$201))</f>
        <v>0</v>
      </c>
      <c r="U50" s="138" cm="1">
        <f t="array" ref="U50">COUNTA(ReturnAdj!U$5:U$201)-SUM(--_xlfn.ISFORMULA(ReturnAdj!U$5:U$201))</f>
        <v>0</v>
      </c>
      <c r="V50" s="138" cm="1">
        <f t="array" ref="V50">COUNTA(ReturnAdj!V$5:V$201)-SUM(--_xlfn.ISFORMULA(ReturnAdj!V$5:V$201))</f>
        <v>0</v>
      </c>
      <c r="W50" s="138" cm="1">
        <f t="array" ref="W50">COUNTA(ReturnAdj!W$5:W$201)-SUM(--_xlfn.ISFORMULA(ReturnAdj!W$5:W$201))</f>
        <v>0</v>
      </c>
      <c r="X50" s="138" cm="1">
        <f t="array" ref="X50">COUNTA(ReturnAdj!X$5:X$201)-SUM(--_xlfn.ISFORMULA(ReturnAdj!X$5:X$201))</f>
        <v>0</v>
      </c>
      <c r="Y50" s="138" cm="1">
        <f t="array" ref="Y50">COUNTA(ReturnAdj!Y$5:Y$201)-SUM(--_xlfn.ISFORMULA(ReturnAdj!Y$5:Y$201))</f>
        <v>0</v>
      </c>
      <c r="Z50" s="138" cm="1">
        <f t="array" ref="Z50">COUNTA(ReturnAdj!Z$5:Z$201)-SUM(--_xlfn.ISFORMULA(ReturnAdj!Z$5:Z$201))</f>
        <v>0</v>
      </c>
      <c r="AA50" s="138" cm="1">
        <f t="array" ref="AA50">COUNTA(ReturnAdj!AA$5:AA$201)-SUM(--_xlfn.ISFORMULA(ReturnAdj!AA$5:AA$201))</f>
        <v>0</v>
      </c>
      <c r="AB50" s="138" cm="1">
        <f t="array" ref="AB50">COUNTA(ReturnAdj!AB$5:AB$201)-SUM(--_xlfn.ISFORMULA(ReturnAdj!AB$5:AB$201))</f>
        <v>0</v>
      </c>
      <c r="AC50" s="138" cm="1">
        <f t="array" ref="AC50">COUNTA(ReturnAdj!AC$5:AC$201)-SUM(--_xlfn.ISFORMULA(ReturnAdj!AC$5:AC$201))</f>
        <v>0</v>
      </c>
      <c r="AD50" s="138" cm="1">
        <f t="array" ref="AD50">COUNTA(ReturnAdj!AD$5:AD$201)-SUM(--_xlfn.ISFORMULA(ReturnAdj!AD$5:AD$201))</f>
        <v>0</v>
      </c>
      <c r="AE50" s="138" cm="1">
        <f t="array" ref="AE50">COUNTA(ReturnAdj!AE$5:AE$201)-SUM(--_xlfn.ISFORMULA(ReturnAdj!AE$5:AE$201))</f>
        <v>0</v>
      </c>
      <c r="AF50" s="138" cm="1">
        <f t="array" ref="AF50">COUNTA(ReturnAdj!AF$5:AF$201)-SUM(--_xlfn.ISFORMULA(ReturnAdj!AF$5:AF$201))</f>
        <v>0</v>
      </c>
      <c r="AG50" s="138" cm="1">
        <f t="array" ref="AG50">COUNTA(ReturnAdj!AG$5:AG$201)-SUM(--_xlfn.ISFORMULA(ReturnAdj!AG$5:AG$201))</f>
        <v>0</v>
      </c>
      <c r="AH50" s="138" cm="1">
        <f t="array" ref="AH50">COUNTA(ReturnAdj!AH$5:AH$201)-SUM(--_xlfn.ISFORMULA(ReturnAdj!AH$5:AH$201))</f>
        <v>0</v>
      </c>
      <c r="AI50" s="138" cm="1">
        <f t="array" ref="AI50">COUNTA(ReturnAdj!AI$5:AI$201)-SUM(--_xlfn.ISFORMULA(ReturnAdj!AI$5:AI$201))</f>
        <v>0</v>
      </c>
      <c r="AJ50" s="138" cm="1">
        <f t="array" ref="AJ50">COUNTA(ReturnAdj!AJ$5:AJ$201)-SUM(--_xlfn.ISFORMULA(ReturnAdj!AJ$5:AJ$201))</f>
        <v>0</v>
      </c>
      <c r="AK50" s="138" cm="1">
        <f t="array" ref="AK50">COUNTA(ReturnAdj!AK$5:AK$201)-SUM(--_xlfn.ISFORMULA(ReturnAdj!AK$5:AK$201))</f>
        <v>0</v>
      </c>
      <c r="AL50" s="138" cm="1">
        <f t="array" ref="AL50">COUNTA(ReturnAdj!AL$5:AL$201)-SUM(--_xlfn.ISFORMULA(ReturnAdj!AL$5:AL$201))</f>
        <v>0</v>
      </c>
      <c r="AM50" s="138" cm="1">
        <f t="array" ref="AM50">COUNTA(ReturnAdj!AM$5:AM$201)-SUM(--_xlfn.ISFORMULA(ReturnAdj!AM$5:AM$201))</f>
        <v>0</v>
      </c>
      <c r="AN50" s="138" cm="1">
        <f t="array" ref="AN50">COUNTA(ReturnAdj!AN$5:AN$201)-SUM(--_xlfn.ISFORMULA(ReturnAdj!AN$5:AN$201))</f>
        <v>0</v>
      </c>
      <c r="AO50" s="138" cm="1">
        <f t="array" ref="AO50">COUNTA(ReturnAdj!AO$5:AO$201)-SUM(--_xlfn.ISFORMULA(ReturnAdj!AO$5:AO$201))</f>
        <v>0</v>
      </c>
      <c r="AP50" s="138" cm="1">
        <f t="array" ref="AP50">COUNTA(ReturnAdj!AP$5:AP$201)-SUM(--_xlfn.ISFORMULA(ReturnAdj!AP$5:AP$201))</f>
        <v>0</v>
      </c>
      <c r="AQ50" s="138" cm="1">
        <f t="array" ref="AQ50">COUNTA(ReturnAdj!AQ$5:AQ$201)-SUM(--_xlfn.ISFORMULA(ReturnAdj!AQ$5:AQ$201))</f>
        <v>0</v>
      </c>
      <c r="AR50" s="138" cm="1">
        <f t="array" ref="AR50">COUNTA(ReturnAdj!AR$5:AR$201)-SUM(--_xlfn.ISFORMULA(ReturnAdj!AR$5:AR$201))</f>
        <v>0</v>
      </c>
      <c r="AS50" s="138" cm="1">
        <f t="array" ref="AS50">COUNTA(ReturnAdj!AS$5:AS$201)-SUM(--_xlfn.ISFORMULA(ReturnAdj!AS$5:AS$201))</f>
        <v>0</v>
      </c>
      <c r="AT50" s="257" cm="1">
        <f t="array" ref="AT50">COUNTA(ReturnAdj!AT$5:AT$201)-SUM(--_xlfn.ISFORMULA(ReturnAdj!AT$5:AT$201))</f>
        <v>0</v>
      </c>
      <c r="AU50" s="256" cm="1">
        <f t="array" ref="AU50">COUNTA(ReturnAdj!AU$5:AU$201)-SUM(--_xlfn.ISFORMULA(ReturnAdj!AU$5:AU$201))</f>
        <v>0</v>
      </c>
      <c r="AV50" s="138" cm="1">
        <f t="array" ref="AV50">COUNTA(ReturnAdj!AV$5:AV$201)-SUM(--_xlfn.ISFORMULA(ReturnAdj!AV$5:AV$201))</f>
        <v>0</v>
      </c>
      <c r="AW50" s="138" cm="1">
        <f t="array" ref="AW50">COUNTA(ReturnAdj!AW$5:AW$201)-SUM(--_xlfn.ISFORMULA(ReturnAdj!AW$5:AW$201))</f>
        <v>0</v>
      </c>
      <c r="AX50" s="138" cm="1">
        <f t="array" ref="AX50">COUNTA(ReturnAdj!AX$5:AX$201)-SUM(--_xlfn.ISFORMULA(ReturnAdj!AX$5:AX$201))</f>
        <v>0</v>
      </c>
      <c r="AY50" s="138" cm="1">
        <f t="array" ref="AY50">COUNTA(ReturnAdj!AY$5:AY$201)-SUM(--_xlfn.ISFORMULA(ReturnAdj!AY$5:AY$201))</f>
        <v>0</v>
      </c>
    </row>
    <row r="51" spans="1:51" customFormat="1" ht="14.5">
      <c r="E51" t="s">
        <v>504</v>
      </c>
      <c r="I51" s="138" cm="1">
        <f t="array" ref="I51">COUNTA(Revenue_TO!I$5:I$201)-SUM(--_xlfn.ISFORMULA(Revenue_TO!I$5:I$201))</f>
        <v>0</v>
      </c>
      <c r="K51" s="52" cm="1">
        <f t="array" ref="K51">COUNTA(Revenue_TO!K$5:K$201)-SUM(--_xlfn.ISFORMULA(Revenue_TO!K$5:K$201))</f>
        <v>0</v>
      </c>
      <c r="L51" s="52" cm="1">
        <f t="array" ref="L51">COUNTA(Revenue_TO!L$5:L$201)-SUM(--_xlfn.ISFORMULA(Revenue_TO!L$5:L$201))</f>
        <v>0</v>
      </c>
      <c r="M51" s="52" cm="1">
        <f t="array" ref="M51">COUNTA(Revenue_TO!M$5:M$201)-SUM(--_xlfn.ISFORMULA(Revenue_TO!M$5:M$201))</f>
        <v>0</v>
      </c>
      <c r="N51" s="52" cm="1">
        <f t="array" ref="N51">COUNTA(Revenue_TO!N$5:N$201)-SUM(--_xlfn.ISFORMULA(Revenue_TO!N$5:N$201))</f>
        <v>0</v>
      </c>
      <c r="O51" s="52" cm="1">
        <f t="array" ref="O51">COUNTA(Revenue_TO!O$5:O$201)-SUM(--_xlfn.ISFORMULA(Revenue_TO!O$5:O$201))</f>
        <v>0</v>
      </c>
      <c r="P51" s="52" cm="1">
        <f t="array" ref="P51">COUNTA(Revenue_TO!P$5:P$201)-SUM(--_xlfn.ISFORMULA(Revenue_TO!P$5:P$201))</f>
        <v>0</v>
      </c>
      <c r="Q51" s="52" cm="1">
        <f t="array" ref="Q51">COUNTA(Revenue_TO!Q$5:Q$201)-SUM(--_xlfn.ISFORMULA(Revenue_TO!Q$5:Q$201))</f>
        <v>0</v>
      </c>
      <c r="R51" s="52" cm="1">
        <f t="array" ref="R51">COUNTA(Revenue_TO!R$5:R$201)-SUM(--_xlfn.ISFORMULA(Revenue_TO!R$5:R$201))</f>
        <v>0</v>
      </c>
      <c r="S51" s="52" cm="1">
        <f t="array" ref="S51">COUNTA(Revenue_TO!S$5:S$201)-SUM(--_xlfn.ISFORMULA(Revenue_TO!S$5:S$201))</f>
        <v>0</v>
      </c>
      <c r="T51" s="52" cm="1">
        <f t="array" ref="T51">COUNTA(Revenue_TO!T$5:T$201)-SUM(--_xlfn.ISFORMULA(Revenue_TO!T$5:T$201))</f>
        <v>0</v>
      </c>
      <c r="U51" s="52" cm="1">
        <f t="array" ref="U51">COUNTA(Revenue_TO!U$5:U$201)-SUM(--_xlfn.ISFORMULA(Revenue_TO!U$5:U$201))</f>
        <v>0</v>
      </c>
      <c r="V51" s="52" cm="1">
        <f t="array" ref="V51">COUNTA(Revenue_TO!V$5:V$201)-SUM(--_xlfn.ISFORMULA(Revenue_TO!V$5:V$201))</f>
        <v>0</v>
      </c>
      <c r="W51" s="52" cm="1">
        <f t="array" ref="W51">COUNTA(Revenue_TO!W$5:W$201)-SUM(--_xlfn.ISFORMULA(Revenue_TO!W$5:W$201))</f>
        <v>0</v>
      </c>
      <c r="X51" s="52" cm="1">
        <f t="array" ref="X51">COUNTA(Revenue_TO!X$5:X$201)-SUM(--_xlfn.ISFORMULA(Revenue_TO!X$5:X$201))</f>
        <v>0</v>
      </c>
      <c r="Y51" s="52" cm="1">
        <f t="array" ref="Y51">COUNTA(Revenue_TO!Y$5:Y$201)-SUM(--_xlfn.ISFORMULA(Revenue_TO!Y$5:Y$201))</f>
        <v>0</v>
      </c>
      <c r="Z51" s="52" cm="1">
        <f t="array" ref="Z51">COUNTA(Revenue_TO!Z$5:Z$201)-SUM(--_xlfn.ISFORMULA(Revenue_TO!Z$5:Z$201))</f>
        <v>0</v>
      </c>
      <c r="AA51" s="52" cm="1">
        <f t="array" ref="AA51">COUNTA(Revenue_TO!AA$5:AA$201)-SUM(--_xlfn.ISFORMULA(Revenue_TO!AA$5:AA$201))</f>
        <v>0</v>
      </c>
      <c r="AB51" s="52" cm="1">
        <f t="array" ref="AB51">COUNTA(Revenue_TO!AB$5:AB$201)-SUM(--_xlfn.ISFORMULA(Revenue_TO!AB$5:AB$201))</f>
        <v>0</v>
      </c>
      <c r="AC51" s="52" cm="1">
        <f t="array" ref="AC51">COUNTA(Revenue_TO!AC$5:AC$201)-SUM(--_xlfn.ISFORMULA(Revenue_TO!AC$5:AC$201))</f>
        <v>0</v>
      </c>
      <c r="AD51" s="52" cm="1">
        <f t="array" ref="AD51">COUNTA(Revenue_TO!AD$5:AD$201)-SUM(--_xlfn.ISFORMULA(Revenue_TO!AD$5:AD$201))</f>
        <v>0</v>
      </c>
      <c r="AE51" s="52" cm="1">
        <f t="array" ref="AE51">COUNTA(Revenue_TO!AE$5:AE$201)-SUM(--_xlfn.ISFORMULA(Revenue_TO!AE$5:AE$201))</f>
        <v>0</v>
      </c>
      <c r="AF51" s="52" cm="1">
        <f t="array" ref="AF51">COUNTA(Revenue_TO!AF$5:AF$201)-SUM(--_xlfn.ISFORMULA(Revenue_TO!AF$5:AF$201))</f>
        <v>0</v>
      </c>
      <c r="AG51" s="52" cm="1">
        <f t="array" ref="AG51">COUNTA(Revenue_TO!AG$5:AG$201)-SUM(--_xlfn.ISFORMULA(Revenue_TO!AG$5:AG$201))</f>
        <v>0</v>
      </c>
      <c r="AH51" s="52" cm="1">
        <f t="array" ref="AH51">COUNTA(Revenue_TO!AH$5:AH$201)-SUM(--_xlfn.ISFORMULA(Revenue_TO!AH$5:AH$201))</f>
        <v>0</v>
      </c>
      <c r="AI51" s="52" cm="1">
        <f t="array" ref="AI51">COUNTA(Revenue_TO!AI$5:AI$201)-SUM(--_xlfn.ISFORMULA(Revenue_TO!AI$5:AI$201))</f>
        <v>0</v>
      </c>
      <c r="AJ51" s="52" cm="1">
        <f t="array" ref="AJ51">COUNTA(Revenue_TO!AJ$5:AJ$201)-SUM(--_xlfn.ISFORMULA(Revenue_TO!AJ$5:AJ$201))</f>
        <v>0</v>
      </c>
      <c r="AK51" s="52" cm="1">
        <f t="array" ref="AK51">COUNTA(Revenue_TO!AK$5:AK$201)-SUM(--_xlfn.ISFORMULA(Revenue_TO!AK$5:AK$201))</f>
        <v>0</v>
      </c>
      <c r="AL51" s="52" cm="1">
        <f t="array" ref="AL51">COUNTA(Revenue_TO!AL$5:AL$201)-SUM(--_xlfn.ISFORMULA(Revenue_TO!AL$5:AL$201))</f>
        <v>0</v>
      </c>
      <c r="AM51" s="52" cm="1">
        <f t="array" ref="AM51">COUNTA(Revenue_TO!AM$5:AM$201)-SUM(--_xlfn.ISFORMULA(Revenue_TO!AM$5:AM$201))</f>
        <v>0</v>
      </c>
      <c r="AN51" s="52" cm="1">
        <f t="array" ref="AN51">COUNTA(Revenue_TO!AN$5:AN$201)-SUM(--_xlfn.ISFORMULA(Revenue_TO!AN$5:AN$201))</f>
        <v>0</v>
      </c>
      <c r="AO51" s="52" cm="1">
        <f t="array" ref="AO51">COUNTA(Revenue_TO!AO$5:AO$201)-SUM(--_xlfn.ISFORMULA(Revenue_TO!AO$5:AO$201))</f>
        <v>0</v>
      </c>
      <c r="AP51" s="52" cm="1">
        <f t="array" ref="AP51">COUNTA(Revenue_TO!AP$5:AP$201)-SUM(--_xlfn.ISFORMULA(Revenue_TO!AP$5:AP$201))</f>
        <v>0</v>
      </c>
      <c r="AQ51" s="52" cm="1">
        <f t="array" ref="AQ51">COUNTA(Revenue_TO!AQ$5:AQ$201)-SUM(--_xlfn.ISFORMULA(Revenue_TO!AQ$5:AQ$201))</f>
        <v>0</v>
      </c>
      <c r="AR51" s="52" cm="1">
        <f t="array" ref="AR51">COUNTA(Revenue_TO!AR$5:AR$201)-SUM(--_xlfn.ISFORMULA(Revenue_TO!AR$5:AR$201))</f>
        <v>0</v>
      </c>
      <c r="AS51" s="52" cm="1">
        <f t="array" ref="AS51">COUNTA(Revenue_TO!AS$5:AS$201)-SUM(--_xlfn.ISFORMULA(Revenue_TO!AS$5:AS$201))</f>
        <v>0</v>
      </c>
      <c r="AT51" s="191" cm="1">
        <f t="array" ref="AT51">COUNTA(Revenue_TO!AT$5:AT$201)-SUM(--_xlfn.ISFORMULA(Revenue_TO!AT$5:AT$201))</f>
        <v>0</v>
      </c>
      <c r="AU51" s="172" cm="1">
        <f t="array" aca="1" ref="AU51" ca="1">COUNTA(Revenue_TO!AU$5:AU$201)-SUM(--_xlfn.ISFORMULA(Revenue_TO!AU$5:AU$201))</f>
        <v>0</v>
      </c>
      <c r="AV51" s="52" cm="1">
        <f t="array" aca="1" ref="AV51" ca="1">COUNTA(Revenue_TO!AV$5:AV$201)-SUM(--_xlfn.ISFORMULA(Revenue_TO!AV$5:AV$201))</f>
        <v>0</v>
      </c>
      <c r="AW51" s="52" cm="1">
        <f t="array" aca="1" ref="AW51" ca="1">COUNTA(Revenue_TO!AW$5:AW$201)-SUM(--_xlfn.ISFORMULA(Revenue_TO!AW$5:AW$201))</f>
        <v>0</v>
      </c>
      <c r="AX51" s="52" cm="1">
        <f t="array" aca="1" ref="AX51" ca="1">COUNTA(Revenue_TO!AX$5:AX$201)-SUM(--_xlfn.ISFORMULA(Revenue_TO!AX$5:AX$201))</f>
        <v>0</v>
      </c>
      <c r="AY51" s="52" cm="1">
        <f t="array" aca="1" ref="AY51" ca="1">COUNTA(Revenue_TO!AY$5:AY$201)-SUM(--_xlfn.ISFORMULA(Revenue_TO!AY$5:AY$201))</f>
        <v>0</v>
      </c>
    </row>
    <row r="52" spans="1:51" customFormat="1" ht="14.5">
      <c r="E52" t="s">
        <v>505</v>
      </c>
      <c r="I52" s="52" cm="1">
        <f t="array" ref="I52">COUNTA(Revenue_SO!I$5:I$200)-SUM(--_xlfn.ISFORMULA(Revenue_SO!I$5:I$200))</f>
        <v>0</v>
      </c>
      <c r="K52" s="52" cm="1">
        <f t="array" ref="K52">COUNTA(Revenue_SO!K$5:K$200)-SUM(--_xlfn.ISFORMULA(Revenue_SO!K$5:K$200))</f>
        <v>0</v>
      </c>
      <c r="L52" s="52" cm="1">
        <f t="array" ref="L52">COUNTA(Revenue_SO!L$5:L$200)-SUM(--_xlfn.ISFORMULA(Revenue_SO!L$5:L$200))</f>
        <v>0</v>
      </c>
      <c r="M52" s="52" cm="1">
        <f t="array" ref="M52">COUNTA(Revenue_SO!M$5:M$200)-SUM(--_xlfn.ISFORMULA(Revenue_SO!M$5:M$200))</f>
        <v>0</v>
      </c>
      <c r="N52" s="52" cm="1">
        <f t="array" ref="N52">COUNTA(Revenue_SO!N$5:N$200)-SUM(--_xlfn.ISFORMULA(Revenue_SO!N$5:N$200))</f>
        <v>0</v>
      </c>
      <c r="O52" s="52" cm="1">
        <f t="array" ref="O52">COUNTA(Revenue_SO!O$5:O$200)-SUM(--_xlfn.ISFORMULA(Revenue_SO!O$5:O$200))</f>
        <v>0</v>
      </c>
      <c r="P52" s="52" cm="1">
        <f t="array" ref="P52">COUNTA(Revenue_SO!P$5:P$200)-SUM(--_xlfn.ISFORMULA(Revenue_SO!P$5:P$200))</f>
        <v>0</v>
      </c>
      <c r="Q52" s="52" cm="1">
        <f t="array" ref="Q52">COUNTA(Revenue_SO!Q$5:Q$200)-SUM(--_xlfn.ISFORMULA(Revenue_SO!Q$5:Q$200))</f>
        <v>0</v>
      </c>
      <c r="R52" s="52" cm="1">
        <f t="array" ref="R52">COUNTA(Revenue_SO!R$5:R$200)-SUM(--_xlfn.ISFORMULA(Revenue_SO!R$5:R$200))</f>
        <v>0</v>
      </c>
      <c r="S52" s="52" cm="1">
        <f t="array" ref="S52">COUNTA(Revenue_SO!S$5:S$200)-SUM(--_xlfn.ISFORMULA(Revenue_SO!S$5:S$200))</f>
        <v>0</v>
      </c>
      <c r="T52" s="52" cm="1">
        <f t="array" ref="T52">COUNTA(Revenue_SO!T$5:T$200)-SUM(--_xlfn.ISFORMULA(Revenue_SO!T$5:T$200))</f>
        <v>0</v>
      </c>
      <c r="U52" s="52" cm="1">
        <f t="array" ref="U52">COUNTA(Revenue_SO!U$5:U$200)-SUM(--_xlfn.ISFORMULA(Revenue_SO!U$5:U$200))</f>
        <v>0</v>
      </c>
      <c r="V52" s="52" cm="1">
        <f t="array" ref="V52">COUNTA(Revenue_SO!V$5:V$200)-SUM(--_xlfn.ISFORMULA(Revenue_SO!V$5:V$200))</f>
        <v>0</v>
      </c>
      <c r="W52" s="52" cm="1">
        <f t="array" ref="W52">COUNTA(Revenue_SO!W$5:W$200)-SUM(--_xlfn.ISFORMULA(Revenue_SO!W$5:W$200))</f>
        <v>0</v>
      </c>
      <c r="X52" s="52" cm="1">
        <f t="array" ref="X52">COUNTA(Revenue_SO!X$5:X$200)-SUM(--_xlfn.ISFORMULA(Revenue_SO!X$5:X$200))</f>
        <v>0</v>
      </c>
      <c r="Y52" s="52" cm="1">
        <f t="array" ref="Y52">COUNTA(Revenue_SO!Y$5:Y$200)-SUM(--_xlfn.ISFORMULA(Revenue_SO!Y$5:Y$200))</f>
        <v>0</v>
      </c>
      <c r="Z52" s="52" cm="1">
        <f t="array" ref="Z52">COUNTA(Revenue_SO!Z$5:Z$200)-SUM(--_xlfn.ISFORMULA(Revenue_SO!Z$5:Z$200))</f>
        <v>0</v>
      </c>
      <c r="AA52" s="52" cm="1">
        <f t="array" ref="AA52">COUNTA(Revenue_SO!AA$5:AA$200)-SUM(--_xlfn.ISFORMULA(Revenue_SO!AA$5:AA$200))</f>
        <v>0</v>
      </c>
      <c r="AB52" s="52" cm="1">
        <f t="array" ref="AB52">COUNTA(Revenue_SO!AB$5:AB$200)-SUM(--_xlfn.ISFORMULA(Revenue_SO!AB$5:AB$200))</f>
        <v>0</v>
      </c>
      <c r="AC52" s="52" cm="1">
        <f t="array" ref="AC52">COUNTA(Revenue_SO!AC$5:AC$200)-SUM(--_xlfn.ISFORMULA(Revenue_SO!AC$5:AC$200))</f>
        <v>0</v>
      </c>
      <c r="AD52" s="52" cm="1">
        <f t="array" ref="AD52">COUNTA(Revenue_SO!AD$5:AD$200)-SUM(--_xlfn.ISFORMULA(Revenue_SO!AD$5:AD$200))</f>
        <v>0</v>
      </c>
      <c r="AE52" s="52" cm="1">
        <f t="array" ref="AE52">COUNTA(Revenue_SO!AE$5:AE$200)-SUM(--_xlfn.ISFORMULA(Revenue_SO!AE$5:AE$200))</f>
        <v>0</v>
      </c>
      <c r="AF52" s="52" cm="1">
        <f t="array" ref="AF52">COUNTA(Revenue_SO!AF$5:AF$200)-SUM(--_xlfn.ISFORMULA(Revenue_SO!AF$5:AF$200))</f>
        <v>0</v>
      </c>
      <c r="AG52" s="52" cm="1">
        <f t="array" ref="AG52">COUNTA(Revenue_SO!AG$5:AG$200)-SUM(--_xlfn.ISFORMULA(Revenue_SO!AG$5:AG$200))</f>
        <v>0</v>
      </c>
      <c r="AH52" s="52" cm="1">
        <f t="array" ref="AH52">COUNTA(Revenue_SO!AH$5:AH$200)-SUM(--_xlfn.ISFORMULA(Revenue_SO!AH$5:AH$200))</f>
        <v>0</v>
      </c>
      <c r="AI52" s="52" cm="1">
        <f t="array" ref="AI52">COUNTA(Revenue_SO!AI$5:AI$200)-SUM(--_xlfn.ISFORMULA(Revenue_SO!AI$5:AI$200))</f>
        <v>0</v>
      </c>
      <c r="AJ52" s="52" cm="1">
        <f t="array" ref="AJ52">COUNTA(Revenue_SO!AJ$5:AJ$200)-SUM(--_xlfn.ISFORMULA(Revenue_SO!AJ$5:AJ$200))</f>
        <v>0</v>
      </c>
      <c r="AK52" s="52" cm="1">
        <f t="array" ref="AK52">COUNTA(Revenue_SO!AK$5:AK$200)-SUM(--_xlfn.ISFORMULA(Revenue_SO!AK$5:AK$200))</f>
        <v>0</v>
      </c>
      <c r="AL52" s="52" cm="1">
        <f t="array" ref="AL52">COUNTA(Revenue_SO!AL$5:AL$200)-SUM(--_xlfn.ISFORMULA(Revenue_SO!AL$5:AL$200))</f>
        <v>0</v>
      </c>
      <c r="AM52" s="52" cm="1">
        <f t="array" ref="AM52">COUNTA(Revenue_SO!AM$5:AM$200)-SUM(--_xlfn.ISFORMULA(Revenue_SO!AM$5:AM$200))</f>
        <v>0</v>
      </c>
      <c r="AN52" s="52" cm="1">
        <f t="array" ref="AN52">COUNTA(Revenue_SO!AN$5:AN$200)-SUM(--_xlfn.ISFORMULA(Revenue_SO!AN$5:AN$200))</f>
        <v>0</v>
      </c>
      <c r="AO52" s="52" cm="1">
        <f t="array" ref="AO52">COUNTA(Revenue_SO!AO$5:AO$200)-SUM(--_xlfn.ISFORMULA(Revenue_SO!AO$5:AO$200))</f>
        <v>0</v>
      </c>
      <c r="AP52" s="52" cm="1">
        <f t="array" ref="AP52">COUNTA(Revenue_SO!AP$5:AP$200)-SUM(--_xlfn.ISFORMULA(Revenue_SO!AP$5:AP$200))</f>
        <v>0</v>
      </c>
      <c r="AQ52" s="52" cm="1">
        <f t="array" ref="AQ52">COUNTA(Revenue_SO!AQ$5:AQ$200)-SUM(--_xlfn.ISFORMULA(Revenue_SO!AQ$5:AQ$200))</f>
        <v>0</v>
      </c>
      <c r="AR52" s="52" cm="1">
        <f t="array" ref="AR52">COUNTA(Revenue_SO!AR$5:AR$200)-SUM(--_xlfn.ISFORMULA(Revenue_SO!AR$5:AR$200))</f>
        <v>0</v>
      </c>
      <c r="AS52" s="52" cm="1">
        <f t="array" ref="AS52">COUNTA(Revenue_SO!AS$5:AS$200)-SUM(--_xlfn.ISFORMULA(Revenue_SO!AS$5:AS$200))</f>
        <v>0</v>
      </c>
      <c r="AT52" s="191" cm="1">
        <f t="array" ref="AT52">COUNTA(Revenue_SO!AT$5:AT$200)-SUM(--_xlfn.ISFORMULA(Revenue_SO!AT$5:AT$200))</f>
        <v>0</v>
      </c>
      <c r="AU52" s="172" cm="1">
        <f t="array" aca="1" ref="AU52" ca="1">COUNTA(Revenue_SO!AU$5:AU$200)-SUM(--_xlfn.ISFORMULA(Revenue_SO!AU$5:AU$200))</f>
        <v>0</v>
      </c>
      <c r="AV52" s="52" cm="1">
        <f t="array" aca="1" ref="AV52" ca="1">COUNTA(Revenue_SO!AV$5:AV$200)-SUM(--_xlfn.ISFORMULA(Revenue_SO!AV$5:AV$200))</f>
        <v>0</v>
      </c>
      <c r="AW52" s="52" cm="1">
        <f t="array" aca="1" ref="AW52" ca="1">COUNTA(Revenue_SO!AW$5:AW$200)-SUM(--_xlfn.ISFORMULA(Revenue_SO!AW$5:AW$200))</f>
        <v>0</v>
      </c>
      <c r="AX52" s="52" cm="1">
        <f t="array" aca="1" ref="AX52" ca="1">COUNTA(Revenue_SO!AX$5:AX$200)-SUM(--_xlfn.ISFORMULA(Revenue_SO!AX$5:AX$200))</f>
        <v>0</v>
      </c>
      <c r="AY52" s="52" cm="1">
        <f t="array" aca="1" ref="AY52" ca="1">COUNTA(Revenue_SO!AY$5:AY$200)-SUM(--_xlfn.ISFORMULA(Revenue_SO!AY$5:AY$200))</f>
        <v>0</v>
      </c>
    </row>
    <row r="53" spans="1:51" customFormat="1" ht="14.5">
      <c r="E53" t="s">
        <v>517</v>
      </c>
      <c r="I53" s="52" cm="1">
        <f t="array" ref="I53">COUNTA(AllowedRevenue_TO!I$5:I$199)-SUM(--_xlfn.ISFORMULA(AllowedRevenue_TO!I$5:I$199))</f>
        <v>0</v>
      </c>
      <c r="K53" s="52" cm="1">
        <f t="array" ref="K53">COUNTA(AllowedRevenue_TO!K$5:K$199)-SUM(--_xlfn.ISFORMULA(AllowedRevenue_TO!K$5:K$199))</f>
        <v>0</v>
      </c>
      <c r="L53" s="52" cm="1">
        <f t="array" ref="L53">COUNTA(AllowedRevenue_TO!L$5:L$199)-SUM(--_xlfn.ISFORMULA(AllowedRevenue_TO!L$5:L$199))</f>
        <v>0</v>
      </c>
      <c r="M53" s="52" cm="1">
        <f t="array" ref="M53">COUNTA(AllowedRevenue_TO!M$5:M$199)-SUM(--_xlfn.ISFORMULA(AllowedRevenue_TO!M$5:M$199))</f>
        <v>0</v>
      </c>
      <c r="N53" s="52" cm="1">
        <f t="array" ref="N53">COUNTA(AllowedRevenue_TO!N$5:N$199)-SUM(--_xlfn.ISFORMULA(AllowedRevenue_TO!N$5:N$199))</f>
        <v>0</v>
      </c>
      <c r="O53" s="52" cm="1">
        <f t="array" ref="O53">COUNTA(AllowedRevenue_TO!O$5:O$199)-SUM(--_xlfn.ISFORMULA(AllowedRevenue_TO!O$5:O$199))</f>
        <v>0</v>
      </c>
      <c r="P53" s="52" cm="1">
        <f t="array" ref="P53">COUNTA(AllowedRevenue_TO!P$5:P$199)-SUM(--_xlfn.ISFORMULA(AllowedRevenue_TO!P$5:P$199))</f>
        <v>0</v>
      </c>
      <c r="Q53" s="52" cm="1">
        <f t="array" ref="Q53">COUNTA(AllowedRevenue_TO!Q$5:Q$199)-SUM(--_xlfn.ISFORMULA(AllowedRevenue_TO!Q$5:Q$199))</f>
        <v>0</v>
      </c>
      <c r="R53" s="52" cm="1">
        <f t="array" ref="R53">COUNTA(AllowedRevenue_TO!R$5:R$199)-SUM(--_xlfn.ISFORMULA(AllowedRevenue_TO!R$5:R$199))</f>
        <v>0</v>
      </c>
      <c r="S53" s="52" cm="1">
        <f t="array" ref="S53">COUNTA(AllowedRevenue_TO!S$5:S$199)-SUM(--_xlfn.ISFORMULA(AllowedRevenue_TO!S$5:S$199))</f>
        <v>0</v>
      </c>
      <c r="T53" s="52" cm="1">
        <f t="array" ref="T53">COUNTA(AllowedRevenue_TO!T$5:T$199)-SUM(--_xlfn.ISFORMULA(AllowedRevenue_TO!T$5:T$199))</f>
        <v>0</v>
      </c>
      <c r="U53" s="52" cm="1">
        <f t="array" ref="U53">COUNTA(AllowedRevenue_TO!U$5:U$199)-SUM(--_xlfn.ISFORMULA(AllowedRevenue_TO!U$5:U$199))</f>
        <v>0</v>
      </c>
      <c r="V53" s="52" cm="1">
        <f t="array" ref="V53">COUNTA(AllowedRevenue_TO!V$5:V$199)-SUM(--_xlfn.ISFORMULA(AllowedRevenue_TO!V$5:V$199))</f>
        <v>0</v>
      </c>
      <c r="W53" s="52" cm="1">
        <f t="array" ref="W53">COUNTA(AllowedRevenue_TO!W$5:W$199)-SUM(--_xlfn.ISFORMULA(AllowedRevenue_TO!W$5:W$199))</f>
        <v>0</v>
      </c>
      <c r="X53" s="52" cm="1">
        <f t="array" ref="X53">COUNTA(AllowedRevenue_TO!X$5:X$199)-SUM(--_xlfn.ISFORMULA(AllowedRevenue_TO!X$5:X$199))</f>
        <v>0</v>
      </c>
      <c r="Y53" s="52" cm="1">
        <f t="array" ref="Y53">COUNTA(AllowedRevenue_TO!Y$5:Y$199)-SUM(--_xlfn.ISFORMULA(AllowedRevenue_TO!Y$5:Y$199))</f>
        <v>0</v>
      </c>
      <c r="Z53" s="52" cm="1">
        <f t="array" ref="Z53">COUNTA(AllowedRevenue_TO!Z$5:Z$199)-SUM(--_xlfn.ISFORMULA(AllowedRevenue_TO!Z$5:Z$199))</f>
        <v>0</v>
      </c>
      <c r="AA53" s="52" cm="1">
        <f t="array" ref="AA53">COUNTA(AllowedRevenue_TO!AA$5:AA$199)-SUM(--_xlfn.ISFORMULA(AllowedRevenue_TO!AA$5:AA$199))</f>
        <v>0</v>
      </c>
      <c r="AB53" s="52" cm="1">
        <f t="array" ref="AB53">COUNTA(AllowedRevenue_TO!AB$5:AB$199)-SUM(--_xlfn.ISFORMULA(AllowedRevenue_TO!AB$5:AB$199))</f>
        <v>0</v>
      </c>
      <c r="AC53" s="52" cm="1">
        <f t="array" ref="AC53">COUNTA(AllowedRevenue_TO!AC$5:AC$199)-SUM(--_xlfn.ISFORMULA(AllowedRevenue_TO!AC$5:AC$199))</f>
        <v>0</v>
      </c>
      <c r="AD53" s="52" cm="1">
        <f t="array" ref="AD53">COUNTA(AllowedRevenue_TO!AD$5:AD$199)-SUM(--_xlfn.ISFORMULA(AllowedRevenue_TO!AD$5:AD$199))</f>
        <v>0</v>
      </c>
      <c r="AE53" s="52" cm="1">
        <f t="array" ref="AE53">COUNTA(AllowedRevenue_TO!AE$5:AE$199)-SUM(--_xlfn.ISFORMULA(AllowedRevenue_TO!AE$5:AE$199))</f>
        <v>0</v>
      </c>
      <c r="AF53" s="52" cm="1">
        <f t="array" ref="AF53">COUNTA(AllowedRevenue_TO!AF$5:AF$199)-SUM(--_xlfn.ISFORMULA(AllowedRevenue_TO!AF$5:AF$199))</f>
        <v>0</v>
      </c>
      <c r="AG53" s="52" cm="1">
        <f t="array" ref="AG53">COUNTA(AllowedRevenue_TO!AG$5:AG$199)-SUM(--_xlfn.ISFORMULA(AllowedRevenue_TO!AG$5:AG$199))</f>
        <v>0</v>
      </c>
      <c r="AH53" s="52" cm="1">
        <f t="array" ref="AH53">COUNTA(AllowedRevenue_TO!AH$5:AH$199)-SUM(--_xlfn.ISFORMULA(AllowedRevenue_TO!AH$5:AH$199))</f>
        <v>0</v>
      </c>
      <c r="AI53" s="52" cm="1">
        <f t="array" ref="AI53">COUNTA(AllowedRevenue_TO!AI$5:AI$199)-SUM(--_xlfn.ISFORMULA(AllowedRevenue_TO!AI$5:AI$199))</f>
        <v>0</v>
      </c>
      <c r="AJ53" s="52" cm="1">
        <f t="array" ref="AJ53">COUNTA(AllowedRevenue_TO!AJ$5:AJ$199)-SUM(--_xlfn.ISFORMULA(AllowedRevenue_TO!AJ$5:AJ$199))</f>
        <v>0</v>
      </c>
      <c r="AK53" s="52" cm="1">
        <f t="array" ref="AK53">COUNTA(AllowedRevenue_TO!AK$5:AK$199)-SUM(--_xlfn.ISFORMULA(AllowedRevenue_TO!AK$5:AK$199))</f>
        <v>0</v>
      </c>
      <c r="AL53" s="52" cm="1">
        <f t="array" ref="AL53">COUNTA(AllowedRevenue_TO!AL$5:AL$199)-SUM(--_xlfn.ISFORMULA(AllowedRevenue_TO!AL$5:AL$199))</f>
        <v>0</v>
      </c>
      <c r="AM53" s="52" cm="1">
        <f t="array" ref="AM53">COUNTA(AllowedRevenue_TO!AM$5:AM$199)-SUM(--_xlfn.ISFORMULA(AllowedRevenue_TO!AM$5:AM$199))</f>
        <v>0</v>
      </c>
      <c r="AN53" s="52" cm="1">
        <f t="array" ref="AN53">COUNTA(AllowedRevenue_TO!AN$5:AN$199)-SUM(--_xlfn.ISFORMULA(AllowedRevenue_TO!AN$5:AN$199))</f>
        <v>0</v>
      </c>
      <c r="AO53" s="52" cm="1">
        <f t="array" ref="AO53">COUNTA(AllowedRevenue_TO!AO$5:AO$199)-SUM(--_xlfn.ISFORMULA(AllowedRevenue_TO!AO$5:AO$199))</f>
        <v>0</v>
      </c>
      <c r="AP53" s="52" cm="1">
        <f t="array" ref="AP53">COUNTA(AllowedRevenue_TO!AP$5:AP$199)-SUM(--_xlfn.ISFORMULA(AllowedRevenue_TO!AP$5:AP$199))</f>
        <v>0</v>
      </c>
      <c r="AQ53" s="52" cm="1">
        <f t="array" ref="AQ53">COUNTA(AllowedRevenue_TO!AQ$5:AQ$199)-SUM(--_xlfn.ISFORMULA(AllowedRevenue_TO!AQ$5:AQ$199))</f>
        <v>0</v>
      </c>
      <c r="AR53" s="52" cm="1">
        <f t="array" ref="AR53">COUNTA(AllowedRevenue_TO!AR$5:AR$199)-SUM(--_xlfn.ISFORMULA(AllowedRevenue_TO!AR$5:AR$199))</f>
        <v>0</v>
      </c>
      <c r="AS53" s="52" cm="1">
        <f t="array" ref="AS53">COUNTA(AllowedRevenue_TO!AS$5:AS$199)-SUM(--_xlfn.ISFORMULA(AllowedRevenue_TO!AS$5:AS$199))</f>
        <v>0</v>
      </c>
      <c r="AT53" s="191" cm="1">
        <f t="array" ref="AT53">COUNTA(AllowedRevenue_TO!AT$5:AT$199)-SUM(--_xlfn.ISFORMULA(AllowedRevenue_TO!AT$5:AT$199))</f>
        <v>0</v>
      </c>
      <c r="AU53" s="172" cm="1">
        <f t="array" aca="1" ref="AU53" ca="1">COUNTA(AllowedRevenue_TO!AU$5:AU$199)-SUM(--_xlfn.ISFORMULA(AllowedRevenue_TO!AU$5:AU$199))</f>
        <v>0</v>
      </c>
      <c r="AV53" s="52" cm="1">
        <f t="array" aca="1" ref="AV53" ca="1">COUNTA(AllowedRevenue_TO!AV$5:AV$199)-SUM(--_xlfn.ISFORMULA(AllowedRevenue_TO!AV$5:AV$199))</f>
        <v>0</v>
      </c>
      <c r="AW53" s="52" cm="1">
        <f t="array" aca="1" ref="AW53" ca="1">COUNTA(AllowedRevenue_TO!AW$5:AW$199)-SUM(--_xlfn.ISFORMULA(AllowedRevenue_TO!AW$5:AW$199))</f>
        <v>0</v>
      </c>
      <c r="AX53" s="52" cm="1">
        <f t="array" aca="1" ref="AX53" ca="1">COUNTA(AllowedRevenue_TO!AX$5:AX$199)-SUM(--_xlfn.ISFORMULA(AllowedRevenue_TO!AX$5:AX$199))</f>
        <v>0</v>
      </c>
      <c r="AY53" s="52" cm="1">
        <f t="array" aca="1" ref="AY53" ca="1">COUNTA(AllowedRevenue_TO!AY$5:AY$199)-SUM(--_xlfn.ISFORMULA(AllowedRevenue_TO!AY$5:AY$199))</f>
        <v>0</v>
      </c>
    </row>
    <row r="54" spans="1:51" customFormat="1" ht="14.5">
      <c r="E54" t="s">
        <v>518</v>
      </c>
      <c r="I54" s="52" cm="1">
        <f t="array" ref="I54">COUNTA(AllowedRevenue_SO!I$5:I$199)-SUM(--_xlfn.ISFORMULA(AllowedRevenue_SO!I$5:I$199))</f>
        <v>0</v>
      </c>
      <c r="K54" s="52" cm="1">
        <f t="array" ref="K54">COUNTA(AllowedRevenue_SO!K$5:K$199)-SUM(--_xlfn.ISFORMULA(AllowedRevenue_SO!K$5:K$199))</f>
        <v>0</v>
      </c>
      <c r="L54" s="52" cm="1">
        <f t="array" ref="L54">COUNTA(AllowedRevenue_SO!L$5:L$199)-SUM(--_xlfn.ISFORMULA(AllowedRevenue_SO!L$5:L$199))</f>
        <v>0</v>
      </c>
      <c r="M54" s="52" cm="1">
        <f t="array" ref="M54">COUNTA(AllowedRevenue_SO!M$5:M$199)-SUM(--_xlfn.ISFORMULA(AllowedRevenue_SO!M$5:M$199))</f>
        <v>0</v>
      </c>
      <c r="N54" s="52" cm="1">
        <f t="array" ref="N54">COUNTA(AllowedRevenue_SO!N$5:N$199)-SUM(--_xlfn.ISFORMULA(AllowedRevenue_SO!N$5:N$199))</f>
        <v>0</v>
      </c>
      <c r="O54" s="52" cm="1">
        <f t="array" ref="O54">COUNTA(AllowedRevenue_SO!O$5:O$199)-SUM(--_xlfn.ISFORMULA(AllowedRevenue_SO!O$5:O$199))</f>
        <v>0</v>
      </c>
      <c r="P54" s="52" cm="1">
        <f t="array" ref="P54">COUNTA(AllowedRevenue_SO!P$5:P$199)-SUM(--_xlfn.ISFORMULA(AllowedRevenue_SO!P$5:P$199))</f>
        <v>0</v>
      </c>
      <c r="Q54" s="52" cm="1">
        <f t="array" ref="Q54">COUNTA(AllowedRevenue_SO!Q$5:Q$199)-SUM(--_xlfn.ISFORMULA(AllowedRevenue_SO!Q$5:Q$199))</f>
        <v>0</v>
      </c>
      <c r="R54" s="52" cm="1">
        <f t="array" ref="R54">COUNTA(AllowedRevenue_SO!R$5:R$199)-SUM(--_xlfn.ISFORMULA(AllowedRevenue_SO!R$5:R$199))</f>
        <v>0</v>
      </c>
      <c r="S54" s="52" cm="1">
        <f t="array" ref="S54">COUNTA(AllowedRevenue_SO!S$5:S$199)-SUM(--_xlfn.ISFORMULA(AllowedRevenue_SO!S$5:S$199))</f>
        <v>0</v>
      </c>
      <c r="T54" s="52" cm="1">
        <f t="array" ref="T54">COUNTA(AllowedRevenue_SO!T$5:T$199)-SUM(--_xlfn.ISFORMULA(AllowedRevenue_SO!T$5:T$199))</f>
        <v>0</v>
      </c>
      <c r="U54" s="52" cm="1">
        <f t="array" ref="U54">COUNTA(AllowedRevenue_SO!U$5:U$199)-SUM(--_xlfn.ISFORMULA(AllowedRevenue_SO!U$5:U$199))</f>
        <v>0</v>
      </c>
      <c r="V54" s="52" cm="1">
        <f t="array" ref="V54">COUNTA(AllowedRevenue_SO!V$5:V$199)-SUM(--_xlfn.ISFORMULA(AllowedRevenue_SO!V$5:V$199))</f>
        <v>0</v>
      </c>
      <c r="W54" s="52" cm="1">
        <f t="array" ref="W54">COUNTA(AllowedRevenue_SO!W$5:W$199)-SUM(--_xlfn.ISFORMULA(AllowedRevenue_SO!W$5:W$199))</f>
        <v>0</v>
      </c>
      <c r="X54" s="52" cm="1">
        <f t="array" ref="X54">COUNTA(AllowedRevenue_SO!X$5:X$199)-SUM(--_xlfn.ISFORMULA(AllowedRevenue_SO!X$5:X$199))</f>
        <v>0</v>
      </c>
      <c r="Y54" s="52" cm="1">
        <f t="array" ref="Y54">COUNTA(AllowedRevenue_SO!Y$5:Y$199)-SUM(--_xlfn.ISFORMULA(AllowedRevenue_SO!Y$5:Y$199))</f>
        <v>0</v>
      </c>
      <c r="Z54" s="52" cm="1">
        <f t="array" ref="Z54">COUNTA(AllowedRevenue_SO!Z$5:Z$199)-SUM(--_xlfn.ISFORMULA(AllowedRevenue_SO!Z$5:Z$199))</f>
        <v>0</v>
      </c>
      <c r="AA54" s="52" cm="1">
        <f t="array" ref="AA54">COUNTA(AllowedRevenue_SO!AA$5:AA$199)-SUM(--_xlfn.ISFORMULA(AllowedRevenue_SO!AA$5:AA$199))</f>
        <v>0</v>
      </c>
      <c r="AB54" s="52" cm="1">
        <f t="array" ref="AB54">COUNTA(AllowedRevenue_SO!AB$5:AB$199)-SUM(--_xlfn.ISFORMULA(AllowedRevenue_SO!AB$5:AB$199))</f>
        <v>0</v>
      </c>
      <c r="AC54" s="52" cm="1">
        <f t="array" ref="AC54">COUNTA(AllowedRevenue_SO!AC$5:AC$199)-SUM(--_xlfn.ISFORMULA(AllowedRevenue_SO!AC$5:AC$199))</f>
        <v>0</v>
      </c>
      <c r="AD54" s="52" cm="1">
        <f t="array" ref="AD54">COUNTA(AllowedRevenue_SO!AD$5:AD$199)-SUM(--_xlfn.ISFORMULA(AllowedRevenue_SO!AD$5:AD$199))</f>
        <v>0</v>
      </c>
      <c r="AE54" s="52" cm="1">
        <f t="array" ref="AE54">COUNTA(AllowedRevenue_SO!AE$5:AE$199)-SUM(--_xlfn.ISFORMULA(AllowedRevenue_SO!AE$5:AE$199))</f>
        <v>0</v>
      </c>
      <c r="AF54" s="52" cm="1">
        <f t="array" ref="AF54">COUNTA(AllowedRevenue_SO!AF$5:AF$199)-SUM(--_xlfn.ISFORMULA(AllowedRevenue_SO!AF$5:AF$199))</f>
        <v>0</v>
      </c>
      <c r="AG54" s="52" cm="1">
        <f t="array" ref="AG54">COUNTA(AllowedRevenue_SO!AG$5:AG$199)-SUM(--_xlfn.ISFORMULA(AllowedRevenue_SO!AG$5:AG$199))</f>
        <v>0</v>
      </c>
      <c r="AH54" s="52" cm="1">
        <f t="array" ref="AH54">COUNTA(AllowedRevenue_SO!AH$5:AH$199)-SUM(--_xlfn.ISFORMULA(AllowedRevenue_SO!AH$5:AH$199))</f>
        <v>0</v>
      </c>
      <c r="AI54" s="52" cm="1">
        <f t="array" ref="AI54">COUNTA(AllowedRevenue_SO!AI$5:AI$199)-SUM(--_xlfn.ISFORMULA(AllowedRevenue_SO!AI$5:AI$199))</f>
        <v>0</v>
      </c>
      <c r="AJ54" s="52" cm="1">
        <f t="array" ref="AJ54">COUNTA(AllowedRevenue_SO!AJ$5:AJ$199)-SUM(--_xlfn.ISFORMULA(AllowedRevenue_SO!AJ$5:AJ$199))</f>
        <v>0</v>
      </c>
      <c r="AK54" s="52" cm="1">
        <f t="array" ref="AK54">COUNTA(AllowedRevenue_SO!AK$5:AK$199)-SUM(--_xlfn.ISFORMULA(AllowedRevenue_SO!AK$5:AK$199))</f>
        <v>0</v>
      </c>
      <c r="AL54" s="52" cm="1">
        <f t="array" ref="AL54">COUNTA(AllowedRevenue_SO!AL$5:AL$199)-SUM(--_xlfn.ISFORMULA(AllowedRevenue_SO!AL$5:AL$199))</f>
        <v>0</v>
      </c>
      <c r="AM54" s="52" cm="1">
        <f t="array" ref="AM54">COUNTA(AllowedRevenue_SO!AM$5:AM$199)-SUM(--_xlfn.ISFORMULA(AllowedRevenue_SO!AM$5:AM$199))</f>
        <v>0</v>
      </c>
      <c r="AN54" s="52" cm="1">
        <f t="array" ref="AN54">COUNTA(AllowedRevenue_SO!AN$5:AN$199)-SUM(--_xlfn.ISFORMULA(AllowedRevenue_SO!AN$5:AN$199))</f>
        <v>0</v>
      </c>
      <c r="AO54" s="52" cm="1">
        <f t="array" ref="AO54">COUNTA(AllowedRevenue_SO!AO$5:AO$199)-SUM(--_xlfn.ISFORMULA(AllowedRevenue_SO!AO$5:AO$199))</f>
        <v>0</v>
      </c>
      <c r="AP54" s="52" cm="1">
        <f t="array" ref="AP54">COUNTA(AllowedRevenue_SO!AP$5:AP$199)-SUM(--_xlfn.ISFORMULA(AllowedRevenue_SO!AP$5:AP$199))</f>
        <v>0</v>
      </c>
      <c r="AQ54" s="52" cm="1">
        <f t="array" ref="AQ54">COUNTA(AllowedRevenue_SO!AQ$5:AQ$199)-SUM(--_xlfn.ISFORMULA(AllowedRevenue_SO!AQ$5:AQ$199))</f>
        <v>0</v>
      </c>
      <c r="AR54" s="52" cm="1">
        <f t="array" ref="AR54">COUNTA(AllowedRevenue_SO!AR$5:AR$199)-SUM(--_xlfn.ISFORMULA(AllowedRevenue_SO!AR$5:AR$199))</f>
        <v>0</v>
      </c>
      <c r="AS54" s="52" cm="1">
        <f t="array" ref="AS54">COUNTA(AllowedRevenue_SO!AS$5:AS$199)-SUM(--_xlfn.ISFORMULA(AllowedRevenue_SO!AS$5:AS$199))</f>
        <v>0</v>
      </c>
      <c r="AT54" s="191" cm="1">
        <f t="array" ref="AT54">COUNTA(AllowedRevenue_SO!AT$5:AT$199)-SUM(--_xlfn.ISFORMULA(AllowedRevenue_SO!AT$5:AT$199))</f>
        <v>0</v>
      </c>
      <c r="AU54" s="172" cm="1">
        <f t="array" aca="1" ref="AU54" ca="1">COUNTA(AllowedRevenue_SO!AU$5:AU$199)-SUM(--_xlfn.ISFORMULA(AllowedRevenue_SO!AU$5:AU$199))</f>
        <v>0</v>
      </c>
      <c r="AV54" s="52" cm="1">
        <f t="array" aca="1" ref="AV54" ca="1">COUNTA(AllowedRevenue_SO!AV$5:AV$199)-SUM(--_xlfn.ISFORMULA(AllowedRevenue_SO!AV$5:AV$199))</f>
        <v>0</v>
      </c>
      <c r="AW54" s="52" cm="1">
        <f t="array" aca="1" ref="AW54" ca="1">COUNTA(AllowedRevenue_SO!AW$5:AW$199)-SUM(--_xlfn.ISFORMULA(AllowedRevenue_SO!AW$5:AW$199))</f>
        <v>0</v>
      </c>
      <c r="AX54" s="52" cm="1">
        <f t="array" aca="1" ref="AX54" ca="1">COUNTA(AllowedRevenue_SO!AX$5:AX$199)-SUM(--_xlfn.ISFORMULA(AllowedRevenue_SO!AX$5:AX$199))</f>
        <v>0</v>
      </c>
      <c r="AY54" s="52" cm="1">
        <f t="array" aca="1" ref="AY54" ca="1">COUNTA(AllowedRevenue_SO!AY$5:AY$199)-SUM(--_xlfn.ISFORMULA(AllowedRevenue_SO!AY$5:AY$199))</f>
        <v>0</v>
      </c>
    </row>
    <row r="55" spans="1:51" customFormat="1" ht="14.5">
      <c r="AT55" s="77"/>
    </row>
    <row r="56" spans="1:51" customFormat="1" ht="17.5" thickBot="1">
      <c r="A56" s="8"/>
      <c r="B56" s="17" t="s">
        <v>595</v>
      </c>
      <c r="AT56" s="77"/>
    </row>
    <row r="57" spans="1:51" customFormat="1" ht="15" thickTop="1">
      <c r="E57" t="s">
        <v>502</v>
      </c>
      <c r="I57" s="61">
        <f>ISERROR(SUM(VariantAllowances!I$5:I$972))*1</f>
        <v>0</v>
      </c>
      <c r="K57" s="61">
        <f>ISERROR(SUM(VariantAllowances!K$5:K$972))*1</f>
        <v>0</v>
      </c>
      <c r="L57" s="61">
        <f>ISERROR(SUM(VariantAllowances!L$5:L$972))*1</f>
        <v>0</v>
      </c>
      <c r="M57" s="61">
        <f>ISERROR(SUM(VariantAllowances!M$5:M$972))*1</f>
        <v>0</v>
      </c>
      <c r="N57" s="61">
        <f>ISERROR(SUM(VariantAllowances!N$5:N$972))*1</f>
        <v>0</v>
      </c>
      <c r="O57" s="61">
        <f>ISERROR(SUM(VariantAllowances!O$5:O$972))*1</f>
        <v>0</v>
      </c>
      <c r="P57" s="61">
        <f>ISERROR(SUM(VariantAllowances!P$5:P$972))*1</f>
        <v>0</v>
      </c>
      <c r="Q57" s="61">
        <f>ISERROR(SUM(VariantAllowances!Q$5:Q$972))*1</f>
        <v>0</v>
      </c>
      <c r="R57" s="61">
        <f>ISERROR(SUM(VariantAllowances!R$5:R$972))*1</f>
        <v>0</v>
      </c>
      <c r="S57" s="61">
        <f>ISERROR(SUM(VariantAllowances!S$5:S$972))*1</f>
        <v>0</v>
      </c>
      <c r="T57" s="61">
        <f>ISERROR(SUM(VariantAllowances!T$5:T$972))*1</f>
        <v>0</v>
      </c>
      <c r="U57" s="61">
        <f>ISERROR(SUM(VariantAllowances!U$5:U$972))*1</f>
        <v>0</v>
      </c>
      <c r="V57" s="61">
        <f>ISERROR(SUM(VariantAllowances!V$5:V$972))*1</f>
        <v>0</v>
      </c>
      <c r="W57" s="61">
        <f>ISERROR(SUM(VariantAllowances!W$5:W$972))*1</f>
        <v>0</v>
      </c>
      <c r="X57" s="61">
        <f>ISERROR(SUM(VariantAllowances!X$5:X$972))*1</f>
        <v>0</v>
      </c>
      <c r="Y57" s="61">
        <f>ISERROR(SUM(VariantAllowances!Y$5:Y$972))*1</f>
        <v>0</v>
      </c>
      <c r="Z57" s="61">
        <f>ISERROR(SUM(VariantAllowances!Z$5:Z$972))*1</f>
        <v>0</v>
      </c>
      <c r="AA57" s="61">
        <f>ISERROR(SUM(VariantAllowances!AA$5:AA$972))*1</f>
        <v>0</v>
      </c>
      <c r="AB57" s="61">
        <f>ISERROR(SUM(VariantAllowances!AB$5:AB$972))*1</f>
        <v>0</v>
      </c>
      <c r="AC57" s="61">
        <f>ISERROR(SUM(VariantAllowances!AC$5:AC$972))*1</f>
        <v>0</v>
      </c>
      <c r="AD57" s="61">
        <f>ISERROR(SUM(VariantAllowances!AD$5:AD$972))*1</f>
        <v>0</v>
      </c>
      <c r="AE57" s="61">
        <f>ISERROR(SUM(VariantAllowances!AE$5:AE$972))*1</f>
        <v>0</v>
      </c>
      <c r="AF57" s="61">
        <f>ISERROR(SUM(VariantAllowances!AF$5:AF$972))*1</f>
        <v>0</v>
      </c>
      <c r="AG57" s="61">
        <f>ISERROR(SUM(VariantAllowances!AG$5:AG$972))*1</f>
        <v>0</v>
      </c>
      <c r="AH57" s="61">
        <f>ISERROR(SUM(VariantAllowances!AH$5:AH$972))*1</f>
        <v>0</v>
      </c>
      <c r="AI57" s="61">
        <f>ISERROR(SUM(VariantAllowances!AI$5:AI$972))*1</f>
        <v>0</v>
      </c>
      <c r="AJ57" s="61">
        <f>ISERROR(SUM(VariantAllowances!AJ$5:AJ$972))*1</f>
        <v>0</v>
      </c>
      <c r="AK57" s="61">
        <f>ISERROR(SUM(VariantAllowances!AK$5:AK$972))*1</f>
        <v>0</v>
      </c>
      <c r="AL57" s="61">
        <f>ISERROR(SUM(VariantAllowances!AL$5:AL$972))*1</f>
        <v>0</v>
      </c>
      <c r="AM57" s="61">
        <f>ISERROR(SUM(VariantAllowances!AM$5:AM$972))*1</f>
        <v>0</v>
      </c>
      <c r="AN57" s="61">
        <f>ISERROR(SUM(VariantAllowances!AN$5:AN$972))*1</f>
        <v>0</v>
      </c>
      <c r="AO57" s="61">
        <f>ISERROR(SUM(VariantAllowances!AO$5:AO$972))*1</f>
        <v>0</v>
      </c>
      <c r="AP57" s="61">
        <f>ISERROR(SUM(VariantAllowances!AP$5:AP$972))*1</f>
        <v>0</v>
      </c>
      <c r="AQ57" s="61">
        <f>ISERROR(SUM(VariantAllowances!AQ$5:AQ$972))*1</f>
        <v>0</v>
      </c>
      <c r="AR57" s="61">
        <f>ISERROR(SUM(VariantAllowances!AR$5:AR$972))*1</f>
        <v>0</v>
      </c>
      <c r="AS57" s="61">
        <f>ISERROR(SUM(VariantAllowances!AS$5:AS$972))*1</f>
        <v>0</v>
      </c>
      <c r="AT57" s="89">
        <f>ISERROR(SUM(VariantAllowances!AT$5:AT$972))*1</f>
        <v>0</v>
      </c>
      <c r="AU57" s="96">
        <f>ISERROR(SUM(VariantAllowances!AU$5:AU$972))*1</f>
        <v>0</v>
      </c>
      <c r="AV57" s="61">
        <f>ISERROR(SUM(VariantAllowances!AV$5:AV$972))*1</f>
        <v>0</v>
      </c>
      <c r="AW57" s="61">
        <f>ISERROR(SUM(VariantAllowances!AW$5:AW$972))*1</f>
        <v>0</v>
      </c>
      <c r="AX57" s="61">
        <f>ISERROR(SUM(VariantAllowances!AX$5:AX$972))*1</f>
        <v>0</v>
      </c>
      <c r="AY57" s="61">
        <f>ISERROR(SUM(VariantAllowances!AY$5:AY$972))*1</f>
        <v>0</v>
      </c>
    </row>
    <row r="58" spans="1:51" customFormat="1" ht="14.5">
      <c r="E58" t="s">
        <v>498</v>
      </c>
      <c r="I58" s="61">
        <f>ISERROR(SUM(Transform_TO!I$5:I$513))*1</f>
        <v>0</v>
      </c>
      <c r="K58" s="61">
        <f>ISERROR(SUM(Transform_TO!K$5:K$513))*1</f>
        <v>0</v>
      </c>
      <c r="L58" s="61">
        <f>ISERROR(SUM(Transform_TO!L$5:L$513))*1</f>
        <v>0</v>
      </c>
      <c r="M58" s="61">
        <f>ISERROR(SUM(Transform_TO!M$5:M$513))*1</f>
        <v>0</v>
      </c>
      <c r="N58" s="61">
        <f>ISERROR(SUM(Transform_TO!N$5:N$513))*1</f>
        <v>0</v>
      </c>
      <c r="O58" s="61">
        <f>ISERROR(SUM(Transform_TO!O$5:O$513))*1</f>
        <v>0</v>
      </c>
      <c r="P58" s="61">
        <f>ISERROR(SUM(Transform_TO!P$5:P$513))*1</f>
        <v>0</v>
      </c>
      <c r="Q58" s="61">
        <f>ISERROR(SUM(Transform_TO!Q$5:Q$513))*1</f>
        <v>0</v>
      </c>
      <c r="R58" s="61">
        <f>ISERROR(SUM(Transform_TO!R$5:R$513))*1</f>
        <v>0</v>
      </c>
      <c r="S58" s="61">
        <f>ISERROR(SUM(Transform_TO!S$5:S$513))*1</f>
        <v>0</v>
      </c>
      <c r="T58" s="61">
        <f>ISERROR(SUM(Transform_TO!T$5:T$513))*1</f>
        <v>0</v>
      </c>
      <c r="U58" s="61">
        <f>ISERROR(SUM(Transform_TO!U$5:U$513))*1</f>
        <v>0</v>
      </c>
      <c r="V58" s="61">
        <f>ISERROR(SUM(Transform_TO!V$5:V$513))*1</f>
        <v>0</v>
      </c>
      <c r="W58" s="61">
        <f>ISERROR(SUM(Transform_TO!W$5:W$513))*1</f>
        <v>0</v>
      </c>
      <c r="X58" s="61">
        <f>ISERROR(SUM(Transform_TO!X$5:X$513))*1</f>
        <v>0</v>
      </c>
      <c r="Y58" s="61">
        <f>ISERROR(SUM(Transform_TO!Y$5:Y$513))*1</f>
        <v>0</v>
      </c>
      <c r="Z58" s="61">
        <f>ISERROR(SUM(Transform_TO!Z$5:Z$513))*1</f>
        <v>0</v>
      </c>
      <c r="AA58" s="61">
        <f>ISERROR(SUM(Transform_TO!AA$5:AA$513))*1</f>
        <v>0</v>
      </c>
      <c r="AB58" s="61">
        <f>ISERROR(SUM(Transform_TO!AB$5:AB$513))*1</f>
        <v>0</v>
      </c>
      <c r="AC58" s="61">
        <f>ISERROR(SUM(Transform_TO!AC$5:AC$513))*1</f>
        <v>0</v>
      </c>
      <c r="AD58" s="61">
        <f>ISERROR(SUM(Transform_TO!AD$5:AD$513))*1</f>
        <v>0</v>
      </c>
      <c r="AE58" s="61">
        <f>ISERROR(SUM(Transform_TO!AE$5:AE$513))*1</f>
        <v>0</v>
      </c>
      <c r="AF58" s="61">
        <f>ISERROR(SUM(Transform_TO!AF$5:AF$513))*1</f>
        <v>0</v>
      </c>
      <c r="AG58" s="61">
        <f>ISERROR(SUM(Transform_TO!AG$5:AG$513))*1</f>
        <v>0</v>
      </c>
      <c r="AH58" s="61">
        <f>ISERROR(SUM(Transform_TO!AH$5:AH$513))*1</f>
        <v>0</v>
      </c>
      <c r="AI58" s="61">
        <f>ISERROR(SUM(Transform_TO!AI$5:AI$513))*1</f>
        <v>0</v>
      </c>
      <c r="AJ58" s="61">
        <f>ISERROR(SUM(Transform_TO!AJ$5:AJ$513))*1</f>
        <v>0</v>
      </c>
      <c r="AK58" s="61">
        <f>ISERROR(SUM(Transform_TO!AK$5:AK$513))*1</f>
        <v>0</v>
      </c>
      <c r="AL58" s="61">
        <f>ISERROR(SUM(Transform_TO!AL$5:AL$513))*1</f>
        <v>0</v>
      </c>
      <c r="AM58" s="61">
        <f>ISERROR(SUM(Transform_TO!AM$5:AM$513))*1</f>
        <v>0</v>
      </c>
      <c r="AN58" s="61">
        <f>ISERROR(SUM(Transform_TO!AN$5:AN$513))*1</f>
        <v>0</v>
      </c>
      <c r="AO58" s="61">
        <f>ISERROR(SUM(Transform_TO!AO$5:AO$513))*1</f>
        <v>0</v>
      </c>
      <c r="AP58" s="61">
        <f>ISERROR(SUM(Transform_TO!AP$5:AP$513))*1</f>
        <v>0</v>
      </c>
      <c r="AQ58" s="61">
        <f>ISERROR(SUM(Transform_TO!AQ$5:AQ$513))*1</f>
        <v>0</v>
      </c>
      <c r="AR58" s="61">
        <f>ISERROR(SUM(Transform_TO!AR$5:AR$513))*1</f>
        <v>0</v>
      </c>
      <c r="AS58" s="61">
        <f>ISERROR(SUM(Transform_TO!AS$5:AS$513))*1</f>
        <v>0</v>
      </c>
      <c r="AT58" s="89">
        <f>ISERROR(SUM(Transform_TO!AT$5:AT$513))*1</f>
        <v>0</v>
      </c>
      <c r="AU58" s="96">
        <f>ISERROR(SUM(Transform_TO!AU$5:AU$513))*1</f>
        <v>0</v>
      </c>
      <c r="AV58" s="61">
        <f>ISERROR(SUM(Transform_TO!AV$5:AV$513))*1</f>
        <v>0</v>
      </c>
      <c r="AW58" s="61">
        <f>ISERROR(SUM(Transform_TO!AW$5:AW$513))*1</f>
        <v>0</v>
      </c>
      <c r="AX58" s="61">
        <f>ISERROR(SUM(Transform_TO!AX$5:AX$513))*1</f>
        <v>0</v>
      </c>
      <c r="AY58" s="61">
        <f>ISERROR(SUM(Transform_TO!AY$5:AY$513))*1</f>
        <v>0</v>
      </c>
    </row>
    <row r="59" spans="1:51" customFormat="1" ht="14.5">
      <c r="E59" t="s">
        <v>503</v>
      </c>
      <c r="I59" s="61">
        <f>ISERROR(SUM(Transform_SO!I$5:I$213))*1</f>
        <v>0</v>
      </c>
      <c r="K59" s="61">
        <f>ISERROR(SUM(Transform_SO!K$5:K$213))*1</f>
        <v>0</v>
      </c>
      <c r="L59" s="61">
        <f>ISERROR(SUM(Transform_SO!L$5:L$213))*1</f>
        <v>0</v>
      </c>
      <c r="M59" s="61">
        <f>ISERROR(SUM(Transform_SO!M$5:M$213))*1</f>
        <v>0</v>
      </c>
      <c r="N59" s="61">
        <f>ISERROR(SUM(Transform_SO!N$5:N$213))*1</f>
        <v>0</v>
      </c>
      <c r="O59" s="61">
        <f>ISERROR(SUM(Transform_SO!O$5:O$213))*1</f>
        <v>0</v>
      </c>
      <c r="P59" s="61">
        <f>ISERROR(SUM(Transform_SO!P$5:P$213))*1</f>
        <v>0</v>
      </c>
      <c r="Q59" s="61">
        <f>ISERROR(SUM(Transform_SO!Q$5:Q$213))*1</f>
        <v>0</v>
      </c>
      <c r="R59" s="61">
        <f>ISERROR(SUM(Transform_SO!R$5:R$213))*1</f>
        <v>0</v>
      </c>
      <c r="S59" s="61">
        <f>ISERROR(SUM(Transform_SO!S$5:S$213))*1</f>
        <v>0</v>
      </c>
      <c r="T59" s="61">
        <f>ISERROR(SUM(Transform_SO!T$5:T$213))*1</f>
        <v>0</v>
      </c>
      <c r="U59" s="61">
        <f>ISERROR(SUM(Transform_SO!U$5:U$213))*1</f>
        <v>0</v>
      </c>
      <c r="V59" s="61">
        <f>ISERROR(SUM(Transform_SO!V$5:V$213))*1</f>
        <v>0</v>
      </c>
      <c r="W59" s="61">
        <f>ISERROR(SUM(Transform_SO!W$5:W$213))*1</f>
        <v>0</v>
      </c>
      <c r="X59" s="61">
        <f>ISERROR(SUM(Transform_SO!X$5:X$213))*1</f>
        <v>0</v>
      </c>
      <c r="Y59" s="61">
        <f>ISERROR(SUM(Transform_SO!Y$5:Y$213))*1</f>
        <v>0</v>
      </c>
      <c r="Z59" s="61">
        <f>ISERROR(SUM(Transform_SO!Z$5:Z$213))*1</f>
        <v>0</v>
      </c>
      <c r="AA59" s="61">
        <f>ISERROR(SUM(Transform_SO!AA$5:AA$213))*1</f>
        <v>0</v>
      </c>
      <c r="AB59" s="61">
        <f>ISERROR(SUM(Transform_SO!AB$5:AB$213))*1</f>
        <v>0</v>
      </c>
      <c r="AC59" s="61">
        <f>ISERROR(SUM(Transform_SO!AC$5:AC$213))*1</f>
        <v>0</v>
      </c>
      <c r="AD59" s="61">
        <f>ISERROR(SUM(Transform_SO!AD$5:AD$213))*1</f>
        <v>0</v>
      </c>
      <c r="AE59" s="61">
        <f>ISERROR(SUM(Transform_SO!AE$5:AE$213))*1</f>
        <v>0</v>
      </c>
      <c r="AF59" s="61">
        <f>ISERROR(SUM(Transform_SO!AF$5:AF$213))*1</f>
        <v>0</v>
      </c>
      <c r="AG59" s="61">
        <f>ISERROR(SUM(Transform_SO!AG$5:AG$213))*1</f>
        <v>0</v>
      </c>
      <c r="AH59" s="61">
        <f>ISERROR(SUM(Transform_SO!AH$5:AH$213))*1</f>
        <v>0</v>
      </c>
      <c r="AI59" s="61">
        <f>ISERROR(SUM(Transform_SO!AI$5:AI$213))*1</f>
        <v>0</v>
      </c>
      <c r="AJ59" s="61">
        <f>ISERROR(SUM(Transform_SO!AJ$5:AJ$213))*1</f>
        <v>0</v>
      </c>
      <c r="AK59" s="61">
        <f>ISERROR(SUM(Transform_SO!AK$5:AK$213))*1</f>
        <v>0</v>
      </c>
      <c r="AL59" s="61">
        <f>ISERROR(SUM(Transform_SO!AL$5:AL$213))*1</f>
        <v>0</v>
      </c>
      <c r="AM59" s="61">
        <f>ISERROR(SUM(Transform_SO!AM$5:AM$213))*1</f>
        <v>0</v>
      </c>
      <c r="AN59" s="61">
        <f>ISERROR(SUM(Transform_SO!AN$5:AN$213))*1</f>
        <v>0</v>
      </c>
      <c r="AO59" s="61">
        <f>ISERROR(SUM(Transform_SO!AO$5:AO$213))*1</f>
        <v>0</v>
      </c>
      <c r="AP59" s="61">
        <f>ISERROR(SUM(Transform_SO!AP$5:AP$213))*1</f>
        <v>0</v>
      </c>
      <c r="AQ59" s="61">
        <f>ISERROR(SUM(Transform_SO!AQ$5:AQ$213))*1</f>
        <v>0</v>
      </c>
      <c r="AR59" s="61">
        <f>ISERROR(SUM(Transform_SO!AR$5:AR$213))*1</f>
        <v>0</v>
      </c>
      <c r="AS59" s="61">
        <f>ISERROR(SUM(Transform_SO!AS$5:AS$213))*1</f>
        <v>0</v>
      </c>
      <c r="AT59" s="89">
        <f>ISERROR(SUM(Transform_SO!AT$5:AT$213))*1</f>
        <v>0</v>
      </c>
      <c r="AU59" s="96">
        <f>ISERROR(SUM(Transform_SO!AU$5:AU$213))*1</f>
        <v>0</v>
      </c>
      <c r="AV59" s="61">
        <f>ISERROR(SUM(Transform_SO!AV$5:AV$213))*1</f>
        <v>0</v>
      </c>
      <c r="AW59" s="61">
        <f>ISERROR(SUM(Transform_SO!AW$5:AW$213))*1</f>
        <v>0</v>
      </c>
      <c r="AX59" s="61">
        <f>ISERROR(SUM(Transform_SO!AX$5:AX$213))*1</f>
        <v>0</v>
      </c>
      <c r="AY59" s="61">
        <f>ISERROR(SUM(Transform_SO!AY$5:AY$213))*1</f>
        <v>0</v>
      </c>
    </row>
    <row r="60" spans="1:51" customFormat="1" ht="14.5">
      <c r="E60" t="s">
        <v>147</v>
      </c>
      <c r="I60" s="61">
        <f>ISERROR(SUM(Totex!I$5:I$200))*1</f>
        <v>0</v>
      </c>
      <c r="K60" s="61">
        <f>ISERROR(SUM(Totex!K$5:K$200))*1</f>
        <v>0</v>
      </c>
      <c r="L60" s="61">
        <f>ISERROR(SUM(Totex!L$5:L$200))*1</f>
        <v>0</v>
      </c>
      <c r="M60" s="61">
        <f>ISERROR(SUM(Totex!M$5:M$200))*1</f>
        <v>0</v>
      </c>
      <c r="N60" s="61">
        <f>ISERROR(SUM(Totex!N$5:N$200))*1</f>
        <v>0</v>
      </c>
      <c r="O60" s="61">
        <f>ISERROR(SUM(Totex!O$5:O$200))*1</f>
        <v>0</v>
      </c>
      <c r="P60" s="61">
        <f>ISERROR(SUM(Totex!P$5:P$200))*1</f>
        <v>0</v>
      </c>
      <c r="Q60" s="61">
        <f>ISERROR(SUM(Totex!Q$5:Q$200))*1</f>
        <v>0</v>
      </c>
      <c r="R60" s="61">
        <f>ISERROR(SUM(Totex!R$5:R$200))*1</f>
        <v>0</v>
      </c>
      <c r="S60" s="61">
        <f>ISERROR(SUM(Totex!S$5:S$200))*1</f>
        <v>0</v>
      </c>
      <c r="T60" s="61">
        <f>ISERROR(SUM(Totex!T$5:T$200))*1</f>
        <v>0</v>
      </c>
      <c r="U60" s="61">
        <f>ISERROR(SUM(Totex!U$5:U$200))*1</f>
        <v>0</v>
      </c>
      <c r="V60" s="61">
        <f>ISERROR(SUM(Totex!V$5:V$200))*1</f>
        <v>0</v>
      </c>
      <c r="W60" s="61">
        <f>ISERROR(SUM(Totex!W$5:W$200))*1</f>
        <v>0</v>
      </c>
      <c r="X60" s="61">
        <f>ISERROR(SUM(Totex!X$5:X$200))*1</f>
        <v>0</v>
      </c>
      <c r="Y60" s="61">
        <f>ISERROR(SUM(Totex!Y$5:Y$200))*1</f>
        <v>0</v>
      </c>
      <c r="Z60" s="61">
        <f>ISERROR(SUM(Totex!Z$5:Z$200))*1</f>
        <v>0</v>
      </c>
      <c r="AA60" s="61">
        <f>ISERROR(SUM(Totex!AA$5:AA$200))*1</f>
        <v>0</v>
      </c>
      <c r="AB60" s="61">
        <f>ISERROR(SUM(Totex!AB$5:AB$200))*1</f>
        <v>0</v>
      </c>
      <c r="AC60" s="61">
        <f>ISERROR(SUM(Totex!AC$5:AC$200))*1</f>
        <v>0</v>
      </c>
      <c r="AD60" s="61">
        <f>ISERROR(SUM(Totex!AD$5:AD$200))*1</f>
        <v>0</v>
      </c>
      <c r="AE60" s="61">
        <f>ISERROR(SUM(Totex!AE$5:AE$200))*1</f>
        <v>0</v>
      </c>
      <c r="AF60" s="61">
        <f>ISERROR(SUM(Totex!AF$5:AF$200))*1</f>
        <v>0</v>
      </c>
      <c r="AG60" s="61">
        <f>ISERROR(SUM(Totex!AG$5:AG$200))*1</f>
        <v>0</v>
      </c>
      <c r="AH60" s="61">
        <f>ISERROR(SUM(Totex!AH$5:AH$200))*1</f>
        <v>0</v>
      </c>
      <c r="AI60" s="61">
        <f>ISERROR(SUM(Totex!AI$5:AI$200))*1</f>
        <v>0</v>
      </c>
      <c r="AJ60" s="61">
        <f>ISERROR(SUM(Totex!AJ$5:AJ$200))*1</f>
        <v>0</v>
      </c>
      <c r="AK60" s="61">
        <f>ISERROR(SUM(Totex!AK$5:AK$200))*1</f>
        <v>0</v>
      </c>
      <c r="AL60" s="61">
        <f>ISERROR(SUM(Totex!AL$5:AL$200))*1</f>
        <v>0</v>
      </c>
      <c r="AM60" s="61">
        <f>ISERROR(SUM(Totex!AM$5:AM$200))*1</f>
        <v>0</v>
      </c>
      <c r="AN60" s="61">
        <f>ISERROR(SUM(Totex!AN$5:AN$200))*1</f>
        <v>0</v>
      </c>
      <c r="AO60" s="61">
        <f>ISERROR(SUM(Totex!AO$5:AO$200))*1</f>
        <v>0</v>
      </c>
      <c r="AP60" s="61">
        <f>ISERROR(SUM(Totex!AP$5:AP$200))*1</f>
        <v>0</v>
      </c>
      <c r="AQ60" s="61">
        <f>ISERROR(SUM(Totex!AQ$5:AQ$200))*1</f>
        <v>0</v>
      </c>
      <c r="AR60" s="61">
        <f>ISERROR(SUM(Totex!AR$5:AR$200))*1</f>
        <v>0</v>
      </c>
      <c r="AS60" s="61">
        <f>ISERROR(SUM(Totex!AS$5:AS$200))*1</f>
        <v>0</v>
      </c>
      <c r="AT60" s="89">
        <f>ISERROR(SUM(Totex!AT$5:AT$200))*1</f>
        <v>0</v>
      </c>
      <c r="AU60" s="96">
        <f>ISERROR(SUM(Totex!AU$5:AU$200))*1</f>
        <v>0</v>
      </c>
      <c r="AV60" s="61">
        <f>ISERROR(SUM(Totex!AV$5:AV$200))*1</f>
        <v>0</v>
      </c>
      <c r="AW60" s="61">
        <f>ISERROR(SUM(Totex!AW$5:AW$200))*1</f>
        <v>0</v>
      </c>
      <c r="AX60" s="61">
        <f>ISERROR(SUM(Totex!AX$5:AX$200))*1</f>
        <v>0</v>
      </c>
      <c r="AY60" s="61">
        <f>ISERROR(SUM(Totex!AY$5:AY$200))*1</f>
        <v>0</v>
      </c>
    </row>
    <row r="61" spans="1:51" customFormat="1" ht="14.5">
      <c r="E61" t="s">
        <v>60</v>
      </c>
      <c r="I61" s="61">
        <f>ISERROR(SUM(TIM!I$5:I$200))*1</f>
        <v>0</v>
      </c>
      <c r="K61" s="61">
        <f>ISERROR(SUM(TIM!K$5:K$200))*1</f>
        <v>0</v>
      </c>
      <c r="L61" s="61">
        <f>ISERROR(SUM(TIM!L$5:L$200))*1</f>
        <v>0</v>
      </c>
      <c r="M61" s="61">
        <f>ISERROR(SUM(TIM!M$5:M$200))*1</f>
        <v>0</v>
      </c>
      <c r="N61" s="61">
        <f>ISERROR(SUM(TIM!N$5:N$200))*1</f>
        <v>0</v>
      </c>
      <c r="O61" s="61">
        <f>ISERROR(SUM(TIM!O$5:O$200))*1</f>
        <v>0</v>
      </c>
      <c r="P61" s="61">
        <f>ISERROR(SUM(TIM!P$5:P$200))*1</f>
        <v>0</v>
      </c>
      <c r="Q61" s="61">
        <f>ISERROR(SUM(TIM!Q$5:Q$200))*1</f>
        <v>0</v>
      </c>
      <c r="R61" s="61">
        <f>ISERROR(SUM(TIM!R$5:R$200))*1</f>
        <v>0</v>
      </c>
      <c r="S61" s="61">
        <f>ISERROR(SUM(TIM!S$5:S$200))*1</f>
        <v>0</v>
      </c>
      <c r="T61" s="61">
        <f>ISERROR(SUM(TIM!T$5:T$200))*1</f>
        <v>0</v>
      </c>
      <c r="U61" s="61">
        <f>ISERROR(SUM(TIM!U$5:U$200))*1</f>
        <v>0</v>
      </c>
      <c r="V61" s="61">
        <f>ISERROR(SUM(TIM!V$5:V$200))*1</f>
        <v>0</v>
      </c>
      <c r="W61" s="61">
        <f>ISERROR(SUM(TIM!W$5:W$200))*1</f>
        <v>0</v>
      </c>
      <c r="X61" s="61">
        <f>ISERROR(SUM(TIM!X$5:X$200))*1</f>
        <v>0</v>
      </c>
      <c r="Y61" s="61">
        <f>ISERROR(SUM(TIM!Y$5:Y$200))*1</f>
        <v>0</v>
      </c>
      <c r="Z61" s="61">
        <f>ISERROR(SUM(TIM!Z$5:Z$200))*1</f>
        <v>0</v>
      </c>
      <c r="AA61" s="61">
        <f>ISERROR(SUM(TIM!AA$5:AA$200))*1</f>
        <v>0</v>
      </c>
      <c r="AB61" s="61">
        <f>ISERROR(SUM(TIM!AB$5:AB$200))*1</f>
        <v>0</v>
      </c>
      <c r="AC61" s="61">
        <f>ISERROR(SUM(TIM!AC$5:AC$200))*1</f>
        <v>0</v>
      </c>
      <c r="AD61" s="61">
        <f>ISERROR(SUM(TIM!AD$5:AD$200))*1</f>
        <v>0</v>
      </c>
      <c r="AE61" s="61">
        <f>ISERROR(SUM(TIM!AE$5:AE$200))*1</f>
        <v>0</v>
      </c>
      <c r="AF61" s="61">
        <f>ISERROR(SUM(TIM!AF$5:AF$200))*1</f>
        <v>0</v>
      </c>
      <c r="AG61" s="61">
        <f>ISERROR(SUM(TIM!AG$5:AG$200))*1</f>
        <v>0</v>
      </c>
      <c r="AH61" s="61">
        <f>ISERROR(SUM(TIM!AH$5:AH$200))*1</f>
        <v>0</v>
      </c>
      <c r="AI61" s="61">
        <f>ISERROR(SUM(TIM!AI$5:AI$200))*1</f>
        <v>0</v>
      </c>
      <c r="AJ61" s="61">
        <f>ISERROR(SUM(TIM!AJ$5:AJ$200))*1</f>
        <v>0</v>
      </c>
      <c r="AK61" s="61">
        <f>ISERROR(SUM(TIM!AK$5:AK$200))*1</f>
        <v>0</v>
      </c>
      <c r="AL61" s="61">
        <f>ISERROR(SUM(TIM!AL$5:AL$200))*1</f>
        <v>0</v>
      </c>
      <c r="AM61" s="61">
        <f>ISERROR(SUM(TIM!AM$5:AM$200))*1</f>
        <v>0</v>
      </c>
      <c r="AN61" s="61">
        <f>ISERROR(SUM(TIM!AN$5:AN$200))*1</f>
        <v>0</v>
      </c>
      <c r="AO61" s="61">
        <f>ISERROR(SUM(TIM!AO$5:AO$200))*1</f>
        <v>0</v>
      </c>
      <c r="AP61" s="61">
        <f>ISERROR(SUM(TIM!AP$5:AP$200))*1</f>
        <v>0</v>
      </c>
      <c r="AQ61" s="61">
        <f>ISERROR(SUM(TIM!AQ$5:AQ$200))*1</f>
        <v>0</v>
      </c>
      <c r="AR61" s="61">
        <f>ISERROR(SUM(TIM!AR$5:AR$200))*1</f>
        <v>0</v>
      </c>
      <c r="AS61" s="61">
        <f>ISERROR(SUM(TIM!AS$5:AS$200))*1</f>
        <v>0</v>
      </c>
      <c r="AT61" s="89">
        <f>ISERROR(SUM(TIM!AT$5:AT$200))*1</f>
        <v>0</v>
      </c>
      <c r="AU61" s="96">
        <f>ISERROR(SUM(TIM!AU$5:AU$200))*1</f>
        <v>0</v>
      </c>
      <c r="AV61" s="61">
        <f>ISERROR(SUM(TIM!AV$5:AV$200))*1</f>
        <v>0</v>
      </c>
      <c r="AW61" s="61">
        <f>ISERROR(SUM(TIM!AW$5:AW$200))*1</f>
        <v>0</v>
      </c>
      <c r="AX61" s="61">
        <f>ISERROR(SUM(TIM!AX$5:AX$200))*1</f>
        <v>0</v>
      </c>
      <c r="AY61" s="61">
        <f>ISERROR(SUM(TIM!AY$5:AY$200))*1</f>
        <v>0</v>
      </c>
    </row>
    <row r="62" spans="1:51" customFormat="1" ht="14.5">
      <c r="E62" t="s">
        <v>154</v>
      </c>
      <c r="I62" s="61">
        <f>ISERROR(SUM(Depreciation!I$5:I$198))*1</f>
        <v>0</v>
      </c>
      <c r="K62" s="61">
        <f>ISERROR(SUM(Depreciation!K$5:K$198))*1</f>
        <v>0</v>
      </c>
      <c r="L62" s="61">
        <f>ISERROR(SUM(Depreciation!L$5:L$198))*1</f>
        <v>0</v>
      </c>
      <c r="M62" s="61">
        <f>ISERROR(SUM(Depreciation!M$5:M$198))*1</f>
        <v>0</v>
      </c>
      <c r="N62" s="61">
        <f>ISERROR(SUM(Depreciation!N$5:N$198))*1</f>
        <v>0</v>
      </c>
      <c r="O62" s="61">
        <f>ISERROR(SUM(Depreciation!O$5:O$198))*1</f>
        <v>0</v>
      </c>
      <c r="P62" s="61">
        <f>ISERROR(SUM(Depreciation!P$5:P$198))*1</f>
        <v>0</v>
      </c>
      <c r="Q62" s="61">
        <f>ISERROR(SUM(Depreciation!Q$5:Q$198))*1</f>
        <v>0</v>
      </c>
      <c r="R62" s="61">
        <f>ISERROR(SUM(Depreciation!R$5:R$198))*1</f>
        <v>0</v>
      </c>
      <c r="S62" s="61">
        <f>ISERROR(SUM(Depreciation!S$5:S$198))*1</f>
        <v>0</v>
      </c>
      <c r="T62" s="61">
        <f>ISERROR(SUM(Depreciation!T$5:T$198))*1</f>
        <v>0</v>
      </c>
      <c r="U62" s="61">
        <f>ISERROR(SUM(Depreciation!U$5:U$198))*1</f>
        <v>0</v>
      </c>
      <c r="V62" s="61">
        <f>ISERROR(SUM(Depreciation!V$5:V$198))*1</f>
        <v>0</v>
      </c>
      <c r="W62" s="61">
        <f>ISERROR(SUM(Depreciation!W$5:W$198))*1</f>
        <v>0</v>
      </c>
      <c r="X62" s="61">
        <f>ISERROR(SUM(Depreciation!X$5:X$198))*1</f>
        <v>0</v>
      </c>
      <c r="Y62" s="61">
        <f>ISERROR(SUM(Depreciation!Y$5:Y$198))*1</f>
        <v>0</v>
      </c>
      <c r="Z62" s="61">
        <f>ISERROR(SUM(Depreciation!Z$5:Z$198))*1</f>
        <v>0</v>
      </c>
      <c r="AA62" s="61">
        <f>ISERROR(SUM(Depreciation!AA$5:AA$198))*1</f>
        <v>0</v>
      </c>
      <c r="AB62" s="61">
        <f>ISERROR(SUM(Depreciation!AB$5:AB$198))*1</f>
        <v>0</v>
      </c>
      <c r="AC62" s="61">
        <f>ISERROR(SUM(Depreciation!AC$5:AC$198))*1</f>
        <v>0</v>
      </c>
      <c r="AD62" s="61">
        <f>ISERROR(SUM(Depreciation!AD$5:AD$198))*1</f>
        <v>0</v>
      </c>
      <c r="AE62" s="61">
        <f>ISERROR(SUM(Depreciation!AE$5:AE$198))*1</f>
        <v>0</v>
      </c>
      <c r="AF62" s="61">
        <f>ISERROR(SUM(Depreciation!AF$5:AF$198))*1</f>
        <v>0</v>
      </c>
      <c r="AG62" s="61">
        <f>ISERROR(SUM(Depreciation!AG$5:AG$198))*1</f>
        <v>0</v>
      </c>
      <c r="AH62" s="61">
        <f>ISERROR(SUM(Depreciation!AH$5:AH$198))*1</f>
        <v>0</v>
      </c>
      <c r="AI62" s="61">
        <f>ISERROR(SUM(Depreciation!AI$5:AI$198))*1</f>
        <v>0</v>
      </c>
      <c r="AJ62" s="61">
        <f>ISERROR(SUM(Depreciation!AJ$5:AJ$198))*1</f>
        <v>0</v>
      </c>
      <c r="AK62" s="61">
        <f>ISERROR(SUM(Depreciation!AK$5:AK$198))*1</f>
        <v>0</v>
      </c>
      <c r="AL62" s="61">
        <f>ISERROR(SUM(Depreciation!AL$5:AL$198))*1</f>
        <v>0</v>
      </c>
      <c r="AM62" s="61">
        <f>ISERROR(SUM(Depreciation!AM$5:AM$198))*1</f>
        <v>0</v>
      </c>
      <c r="AN62" s="61">
        <f>ISERROR(SUM(Depreciation!AN$5:AN$198))*1</f>
        <v>0</v>
      </c>
      <c r="AO62" s="61">
        <f>ISERROR(SUM(Depreciation!AO$5:AO$198))*1</f>
        <v>0</v>
      </c>
      <c r="AP62" s="61">
        <f>ISERROR(SUM(Depreciation!AP$5:AP$198))*1</f>
        <v>0</v>
      </c>
      <c r="AQ62" s="61">
        <f>ISERROR(SUM(Depreciation!AQ$5:AQ$198))*1</f>
        <v>0</v>
      </c>
      <c r="AR62" s="61">
        <f>ISERROR(SUM(Depreciation!AR$5:AR$198))*1</f>
        <v>0</v>
      </c>
      <c r="AS62" s="61">
        <f>ISERROR(SUM(Depreciation!AS$5:AS$198))*1</f>
        <v>0</v>
      </c>
      <c r="AT62" s="89">
        <f>ISERROR(SUM(Depreciation!AT$5:AT$198))*1</f>
        <v>0</v>
      </c>
      <c r="AU62" s="96">
        <f>ISERROR(SUM(Depreciation!AU$5:AU$198))*1</f>
        <v>0</v>
      </c>
      <c r="AV62" s="61">
        <f>ISERROR(SUM(Depreciation!AV$5:AV$198))*1</f>
        <v>0</v>
      </c>
      <c r="AW62" s="61">
        <f>ISERROR(SUM(Depreciation!AW$5:AW$198))*1</f>
        <v>0</v>
      </c>
      <c r="AX62" s="61">
        <f>ISERROR(SUM(Depreciation!AX$5:AX$198))*1</f>
        <v>0</v>
      </c>
      <c r="AY62" s="61">
        <f>ISERROR(SUM(Depreciation!AY$5:AY$198))*1</f>
        <v>0</v>
      </c>
    </row>
    <row r="63" spans="1:51" customFormat="1" ht="14.5">
      <c r="E63" t="s">
        <v>415</v>
      </c>
      <c r="I63" s="61">
        <f>ISERROR(SUM(NonCore!I$5:I$200))*1</f>
        <v>0</v>
      </c>
      <c r="K63" s="61">
        <f>ISERROR(SUM(NonCore!K$5:K$200))*1</f>
        <v>0</v>
      </c>
      <c r="L63" s="61">
        <f>ISERROR(SUM(NonCore!L$5:L$200))*1</f>
        <v>0</v>
      </c>
      <c r="M63" s="61">
        <f>ISERROR(SUM(NonCore!M$5:M$200))*1</f>
        <v>0</v>
      </c>
      <c r="N63" s="61">
        <f>ISERROR(SUM(NonCore!N$5:N$200))*1</f>
        <v>0</v>
      </c>
      <c r="O63" s="61">
        <f>ISERROR(SUM(NonCore!O$5:O$200))*1</f>
        <v>0</v>
      </c>
      <c r="P63" s="61">
        <f>ISERROR(SUM(NonCore!P$5:P$200))*1</f>
        <v>0</v>
      </c>
      <c r="Q63" s="61">
        <f>ISERROR(SUM(NonCore!Q$5:Q$200))*1</f>
        <v>0</v>
      </c>
      <c r="R63" s="61">
        <f>ISERROR(SUM(NonCore!R$5:R$200))*1</f>
        <v>0</v>
      </c>
      <c r="S63" s="61">
        <f>ISERROR(SUM(NonCore!S$5:S$200))*1</f>
        <v>0</v>
      </c>
      <c r="T63" s="61">
        <f>ISERROR(SUM(NonCore!T$5:T$200))*1</f>
        <v>0</v>
      </c>
      <c r="U63" s="61">
        <f>ISERROR(SUM(NonCore!U$5:U$200))*1</f>
        <v>0</v>
      </c>
      <c r="V63" s="61">
        <f>ISERROR(SUM(NonCore!V$5:V$200))*1</f>
        <v>0</v>
      </c>
      <c r="W63" s="61">
        <f>ISERROR(SUM(NonCore!W$5:W$200))*1</f>
        <v>0</v>
      </c>
      <c r="X63" s="61">
        <f>ISERROR(SUM(NonCore!X$5:X$200))*1</f>
        <v>0</v>
      </c>
      <c r="Y63" s="61">
        <f>ISERROR(SUM(NonCore!Y$5:Y$200))*1</f>
        <v>0</v>
      </c>
      <c r="Z63" s="61">
        <f>ISERROR(SUM(NonCore!Z$5:Z$200))*1</f>
        <v>0</v>
      </c>
      <c r="AA63" s="61">
        <f>ISERROR(SUM(NonCore!AA$5:AA$200))*1</f>
        <v>0</v>
      </c>
      <c r="AB63" s="61">
        <f>ISERROR(SUM(NonCore!AB$5:AB$200))*1</f>
        <v>0</v>
      </c>
      <c r="AC63" s="61">
        <f>ISERROR(SUM(NonCore!AC$5:AC$200))*1</f>
        <v>0</v>
      </c>
      <c r="AD63" s="61">
        <f>ISERROR(SUM(NonCore!AD$5:AD$200))*1</f>
        <v>0</v>
      </c>
      <c r="AE63" s="61">
        <f>ISERROR(SUM(NonCore!AE$5:AE$200))*1</f>
        <v>0</v>
      </c>
      <c r="AF63" s="61">
        <f>ISERROR(SUM(NonCore!AF$5:AF$200))*1</f>
        <v>0</v>
      </c>
      <c r="AG63" s="61">
        <f>ISERROR(SUM(NonCore!AG$5:AG$200))*1</f>
        <v>0</v>
      </c>
      <c r="AH63" s="61">
        <f>ISERROR(SUM(NonCore!AH$5:AH$200))*1</f>
        <v>0</v>
      </c>
      <c r="AI63" s="61">
        <f>ISERROR(SUM(NonCore!AI$5:AI$200))*1</f>
        <v>0</v>
      </c>
      <c r="AJ63" s="61">
        <f>ISERROR(SUM(NonCore!AJ$5:AJ$200))*1</f>
        <v>0</v>
      </c>
      <c r="AK63" s="61">
        <f>ISERROR(SUM(NonCore!AK$5:AK$200))*1</f>
        <v>0</v>
      </c>
      <c r="AL63" s="61">
        <f>ISERROR(SUM(NonCore!AL$5:AL$200))*1</f>
        <v>0</v>
      </c>
      <c r="AM63" s="61">
        <f>ISERROR(SUM(NonCore!AM$5:AM$200))*1</f>
        <v>0</v>
      </c>
      <c r="AN63" s="61">
        <f>ISERROR(SUM(NonCore!AN$5:AN$200))*1</f>
        <v>0</v>
      </c>
      <c r="AO63" s="61">
        <f>ISERROR(SUM(NonCore!AO$5:AO$200))*1</f>
        <v>0</v>
      </c>
      <c r="AP63" s="61">
        <f>ISERROR(SUM(NonCore!AP$5:AP$200))*1</f>
        <v>0</v>
      </c>
      <c r="AQ63" s="61">
        <f>ISERROR(SUM(NonCore!AQ$5:AQ$200))*1</f>
        <v>0</v>
      </c>
      <c r="AR63" s="61">
        <f>ISERROR(SUM(NonCore!AR$5:AR$200))*1</f>
        <v>0</v>
      </c>
      <c r="AS63" s="61">
        <f>ISERROR(SUM(NonCore!AS$5:AS$200))*1</f>
        <v>0</v>
      </c>
      <c r="AT63" s="89">
        <f>ISERROR(SUM(NonCore!AT$5:AT$200))*1</f>
        <v>0</v>
      </c>
      <c r="AU63" s="96">
        <f>ISERROR(SUM(NonCore!AU$5:AU$200))*1</f>
        <v>0</v>
      </c>
      <c r="AV63" s="61">
        <f>ISERROR(SUM(NonCore!AV$5:AV$200))*1</f>
        <v>0</v>
      </c>
      <c r="AW63" s="61">
        <f>ISERROR(SUM(NonCore!AW$5:AW$200))*1</f>
        <v>0</v>
      </c>
      <c r="AX63" s="61">
        <f>ISERROR(SUM(NonCore!AX$5:AX$200))*1</f>
        <v>0</v>
      </c>
      <c r="AY63" s="61">
        <f>ISERROR(SUM(NonCore!AY$5:AY$200))*1</f>
        <v>0</v>
      </c>
    </row>
    <row r="64" spans="1:51" customFormat="1" ht="14.5">
      <c r="E64" t="s">
        <v>309</v>
      </c>
      <c r="I64" s="61">
        <f>ISERROR(SUM('Return&amp;RAV'!I$5:I$201))*1</f>
        <v>0</v>
      </c>
      <c r="K64" s="61">
        <f>ISERROR(SUM('Return&amp;RAV'!K$5:K$201))*1</f>
        <v>0</v>
      </c>
      <c r="L64" s="61">
        <f>ISERROR(SUM('Return&amp;RAV'!L$5:L$201))*1</f>
        <v>0</v>
      </c>
      <c r="M64" s="61">
        <f>ISERROR(SUM('Return&amp;RAV'!M$5:M$201))*1</f>
        <v>0</v>
      </c>
      <c r="N64" s="61">
        <f>ISERROR(SUM('Return&amp;RAV'!N$5:N$201))*1</f>
        <v>0</v>
      </c>
      <c r="O64" s="61">
        <f>ISERROR(SUM('Return&amp;RAV'!O$5:O$201))*1</f>
        <v>0</v>
      </c>
      <c r="P64" s="61">
        <f>ISERROR(SUM('Return&amp;RAV'!P$5:P$201))*1</f>
        <v>0</v>
      </c>
      <c r="Q64" s="61">
        <f>ISERROR(SUM('Return&amp;RAV'!Q$5:Q$201))*1</f>
        <v>0</v>
      </c>
      <c r="R64" s="61">
        <f>ISERROR(SUM('Return&amp;RAV'!R$5:R$201))*1</f>
        <v>0</v>
      </c>
      <c r="S64" s="61">
        <f>ISERROR(SUM('Return&amp;RAV'!S$5:S$201))*1</f>
        <v>0</v>
      </c>
      <c r="T64" s="61">
        <f>ISERROR(SUM('Return&amp;RAV'!T$5:T$201))*1</f>
        <v>0</v>
      </c>
      <c r="U64" s="61">
        <f>ISERROR(SUM('Return&amp;RAV'!U$5:U$201))*1</f>
        <v>0</v>
      </c>
      <c r="V64" s="61">
        <f>ISERROR(SUM('Return&amp;RAV'!V$5:V$201))*1</f>
        <v>0</v>
      </c>
      <c r="W64" s="61">
        <f>ISERROR(SUM('Return&amp;RAV'!W$5:W$201))*1</f>
        <v>0</v>
      </c>
      <c r="X64" s="61">
        <f>ISERROR(SUM('Return&amp;RAV'!X$5:X$201))*1</f>
        <v>0</v>
      </c>
      <c r="Y64" s="61">
        <f>ISERROR(SUM('Return&amp;RAV'!Y$5:Y$201))*1</f>
        <v>0</v>
      </c>
      <c r="Z64" s="61">
        <f>ISERROR(SUM('Return&amp;RAV'!Z$5:Z$201))*1</f>
        <v>0</v>
      </c>
      <c r="AA64" s="61">
        <f>ISERROR(SUM('Return&amp;RAV'!AA$5:AA$201))*1</f>
        <v>0</v>
      </c>
      <c r="AB64" s="61">
        <f>ISERROR(SUM('Return&amp;RAV'!AB$5:AB$201))*1</f>
        <v>0</v>
      </c>
      <c r="AC64" s="61">
        <f>ISERROR(SUM('Return&amp;RAV'!AC$5:AC$201))*1</f>
        <v>0</v>
      </c>
      <c r="AD64" s="61">
        <f>ISERROR(SUM('Return&amp;RAV'!AD$5:AD$201))*1</f>
        <v>0</v>
      </c>
      <c r="AE64" s="61">
        <f>ISERROR(SUM('Return&amp;RAV'!AE$5:AE$201))*1</f>
        <v>0</v>
      </c>
      <c r="AF64" s="61">
        <f>ISERROR(SUM('Return&amp;RAV'!AF$5:AF$201))*1</f>
        <v>0</v>
      </c>
      <c r="AG64" s="61">
        <f>ISERROR(SUM('Return&amp;RAV'!AG$5:AG$201))*1</f>
        <v>0</v>
      </c>
      <c r="AH64" s="61">
        <f>ISERROR(SUM('Return&amp;RAV'!AH$5:AH$201))*1</f>
        <v>0</v>
      </c>
      <c r="AI64" s="61">
        <f>ISERROR(SUM('Return&amp;RAV'!AI$5:AI$201))*1</f>
        <v>0</v>
      </c>
      <c r="AJ64" s="61">
        <f>ISERROR(SUM('Return&amp;RAV'!AJ$5:AJ$201))*1</f>
        <v>0</v>
      </c>
      <c r="AK64" s="61">
        <f>ISERROR(SUM('Return&amp;RAV'!AK$5:AK$201))*1</f>
        <v>0</v>
      </c>
      <c r="AL64" s="61">
        <f>ISERROR(SUM('Return&amp;RAV'!AL$5:AL$201))*1</f>
        <v>0</v>
      </c>
      <c r="AM64" s="61">
        <f>ISERROR(SUM('Return&amp;RAV'!AM$5:AM$201))*1</f>
        <v>0</v>
      </c>
      <c r="AN64" s="61">
        <f>ISERROR(SUM('Return&amp;RAV'!AN$5:AN$201))*1</f>
        <v>0</v>
      </c>
      <c r="AO64" s="61">
        <f>ISERROR(SUM('Return&amp;RAV'!AO$5:AO$201))*1</f>
        <v>0</v>
      </c>
      <c r="AP64" s="61">
        <f>ISERROR(SUM('Return&amp;RAV'!AP$5:AP$201))*1</f>
        <v>0</v>
      </c>
      <c r="AQ64" s="61">
        <f>ISERROR(SUM('Return&amp;RAV'!AQ$5:AQ$201))*1</f>
        <v>0</v>
      </c>
      <c r="AR64" s="61">
        <f>ISERROR(SUM('Return&amp;RAV'!AR$5:AR$201))*1</f>
        <v>0</v>
      </c>
      <c r="AS64" s="61">
        <f>ISERROR(SUM('Return&amp;RAV'!AS$5:AS$201))*1</f>
        <v>0</v>
      </c>
      <c r="AT64" s="89">
        <f>ISERROR(SUM('Return&amp;RAV'!AT$5:AT$201))*1</f>
        <v>0</v>
      </c>
      <c r="AU64" s="96">
        <f>ISERROR(SUM('Return&amp;RAV'!AU$5:AU$201))*1</f>
        <v>0</v>
      </c>
      <c r="AV64" s="61">
        <f>ISERROR(SUM('Return&amp;RAV'!AV$5:AV$201))*1</f>
        <v>0</v>
      </c>
      <c r="AW64" s="61">
        <f>ISERROR(SUM('Return&amp;RAV'!AW$5:AW$201))*1</f>
        <v>0</v>
      </c>
      <c r="AX64" s="61">
        <f>ISERROR(SUM('Return&amp;RAV'!AX$5:AX$201))*1</f>
        <v>0</v>
      </c>
      <c r="AY64" s="61">
        <f>ISERROR(SUM('Return&amp;RAV'!AY$5:AY$201))*1</f>
        <v>0</v>
      </c>
    </row>
    <row r="65" spans="1:51" customFormat="1" ht="14.5">
      <c r="E65" t="s">
        <v>297</v>
      </c>
      <c r="I65" s="61">
        <f>ISERROR(SUM(TaxPools!I$5:I$195))*1</f>
        <v>0</v>
      </c>
      <c r="K65" s="61">
        <f>ISERROR(SUM(TaxPools!K$5:K$195))*1</f>
        <v>0</v>
      </c>
      <c r="L65" s="61">
        <f>ISERROR(SUM(TaxPools!L$5:L$195))*1</f>
        <v>0</v>
      </c>
      <c r="M65" s="61">
        <f>ISERROR(SUM(TaxPools!M$5:M$195))*1</f>
        <v>0</v>
      </c>
      <c r="N65" s="61">
        <f>ISERROR(SUM(TaxPools!N$5:N$195))*1</f>
        <v>0</v>
      </c>
      <c r="O65" s="61">
        <f>ISERROR(SUM(TaxPools!O$5:O$195))*1</f>
        <v>0</v>
      </c>
      <c r="P65" s="61">
        <f>ISERROR(SUM(TaxPools!P$5:P$195))*1</f>
        <v>0</v>
      </c>
      <c r="Q65" s="61">
        <f>ISERROR(SUM(TaxPools!Q$5:Q$195))*1</f>
        <v>0</v>
      </c>
      <c r="R65" s="61">
        <f>ISERROR(SUM(TaxPools!R$5:R$195))*1</f>
        <v>0</v>
      </c>
      <c r="S65" s="61">
        <f>ISERROR(SUM(TaxPools!S$5:S$195))*1</f>
        <v>0</v>
      </c>
      <c r="T65" s="61">
        <f>ISERROR(SUM(TaxPools!T$5:T$195))*1</f>
        <v>0</v>
      </c>
      <c r="U65" s="61">
        <f>ISERROR(SUM(TaxPools!U$5:U$195))*1</f>
        <v>0</v>
      </c>
      <c r="V65" s="61">
        <f>ISERROR(SUM(TaxPools!V$5:V$195))*1</f>
        <v>0</v>
      </c>
      <c r="W65" s="61">
        <f>ISERROR(SUM(TaxPools!W$5:W$195))*1</f>
        <v>0</v>
      </c>
      <c r="X65" s="61">
        <f>ISERROR(SUM(TaxPools!X$5:X$195))*1</f>
        <v>0</v>
      </c>
      <c r="Y65" s="61">
        <f>ISERROR(SUM(TaxPools!Y$5:Y$195))*1</f>
        <v>0</v>
      </c>
      <c r="Z65" s="61">
        <f>ISERROR(SUM(TaxPools!Z$5:Z$195))*1</f>
        <v>0</v>
      </c>
      <c r="AA65" s="61">
        <f>ISERROR(SUM(TaxPools!AA$5:AA$195))*1</f>
        <v>0</v>
      </c>
      <c r="AB65" s="61">
        <f>ISERROR(SUM(TaxPools!AB$5:AB$195))*1</f>
        <v>0</v>
      </c>
      <c r="AC65" s="61">
        <f>ISERROR(SUM(TaxPools!AC$5:AC$195))*1</f>
        <v>0</v>
      </c>
      <c r="AD65" s="61">
        <f>ISERROR(SUM(TaxPools!AD$5:AD$195))*1</f>
        <v>0</v>
      </c>
      <c r="AE65" s="61">
        <f>ISERROR(SUM(TaxPools!AE$5:AE$195))*1</f>
        <v>0</v>
      </c>
      <c r="AF65" s="61">
        <f>ISERROR(SUM(TaxPools!AF$5:AF$195))*1</f>
        <v>0</v>
      </c>
      <c r="AG65" s="61">
        <f>ISERROR(SUM(TaxPools!AG$5:AG$195))*1</f>
        <v>0</v>
      </c>
      <c r="AH65" s="61">
        <f>ISERROR(SUM(TaxPools!AH$5:AH$195))*1</f>
        <v>0</v>
      </c>
      <c r="AI65" s="61">
        <f>ISERROR(SUM(TaxPools!AI$5:AI$195))*1</f>
        <v>0</v>
      </c>
      <c r="AJ65" s="61">
        <f>ISERROR(SUM(TaxPools!AJ$5:AJ$195))*1</f>
        <v>0</v>
      </c>
      <c r="AK65" s="61">
        <f>ISERROR(SUM(TaxPools!AK$5:AK$195))*1</f>
        <v>0</v>
      </c>
      <c r="AL65" s="61">
        <f>ISERROR(SUM(TaxPools!AL$5:AL$195))*1</f>
        <v>0</v>
      </c>
      <c r="AM65" s="61">
        <f>ISERROR(SUM(TaxPools!AM$5:AM$195))*1</f>
        <v>0</v>
      </c>
      <c r="AN65" s="61">
        <f>ISERROR(SUM(TaxPools!AN$5:AN$195))*1</f>
        <v>0</v>
      </c>
      <c r="AO65" s="61">
        <f>ISERROR(SUM(TaxPools!AO$5:AO$195))*1</f>
        <v>0</v>
      </c>
      <c r="AP65" s="61">
        <f>ISERROR(SUM(TaxPools!AP$5:AP$195))*1</f>
        <v>0</v>
      </c>
      <c r="AQ65" s="61">
        <f>ISERROR(SUM(TaxPools!AQ$5:AQ$195))*1</f>
        <v>0</v>
      </c>
      <c r="AR65" s="61">
        <f>ISERROR(SUM(TaxPools!AR$5:AR$195))*1</f>
        <v>0</v>
      </c>
      <c r="AS65" s="61">
        <f>ISERROR(SUM(TaxPools!AS$5:AS$195))*1</f>
        <v>0</v>
      </c>
      <c r="AT65" s="89">
        <f>ISERROR(SUM(TaxPools!AT$5:AT$195))*1</f>
        <v>0</v>
      </c>
      <c r="AU65" s="96">
        <f ca="1">ISERROR(SUM(TaxPools!AU$5:AU$195))*1</f>
        <v>0</v>
      </c>
      <c r="AV65" s="61">
        <f ca="1">ISERROR(SUM(TaxPools!AV$5:AV$195))*1</f>
        <v>0</v>
      </c>
      <c r="AW65" s="61">
        <f ca="1">ISERROR(SUM(TaxPools!AW$5:AW$195))*1</f>
        <v>0</v>
      </c>
      <c r="AX65" s="61">
        <f ca="1">ISERROR(SUM(TaxPools!AX$5:AX$195))*1</f>
        <v>0</v>
      </c>
      <c r="AY65" s="61">
        <f ca="1">ISERROR(SUM(TaxPools!AY$5:AY$195))*1</f>
        <v>0</v>
      </c>
    </row>
    <row r="66" spans="1:51" customFormat="1" ht="14.5">
      <c r="E66" t="s">
        <v>95</v>
      </c>
      <c r="I66" s="61">
        <f>ISERROR(SUM(Finance!I$5:I$205))*1</f>
        <v>0</v>
      </c>
      <c r="K66" s="61">
        <f>ISERROR(SUM(Finance!K$5:K$205))*1</f>
        <v>0</v>
      </c>
      <c r="L66" s="61">
        <f>ISERROR(SUM(Finance!L$5:L$205))*1</f>
        <v>0</v>
      </c>
      <c r="M66" s="61">
        <f>ISERROR(SUM(Finance!M$5:M$205))*1</f>
        <v>0</v>
      </c>
      <c r="N66" s="61">
        <f>ISERROR(SUM(Finance!N$5:N$205))*1</f>
        <v>0</v>
      </c>
      <c r="O66" s="61">
        <f>ISERROR(SUM(Finance!O$5:O$205))*1</f>
        <v>0</v>
      </c>
      <c r="P66" s="61">
        <f>ISERROR(SUM(Finance!P$5:P$205))*1</f>
        <v>0</v>
      </c>
      <c r="Q66" s="61">
        <f>ISERROR(SUM(Finance!Q$5:Q$205))*1</f>
        <v>0</v>
      </c>
      <c r="R66" s="61">
        <f>ISERROR(SUM(Finance!R$5:R$205))*1</f>
        <v>0</v>
      </c>
      <c r="S66" s="61">
        <f>ISERROR(SUM(Finance!S$5:S$205))*1</f>
        <v>0</v>
      </c>
      <c r="T66" s="61">
        <f>ISERROR(SUM(Finance!T$5:T$205))*1</f>
        <v>0</v>
      </c>
      <c r="U66" s="61">
        <f>ISERROR(SUM(Finance!U$5:U$205))*1</f>
        <v>0</v>
      </c>
      <c r="V66" s="61">
        <f>ISERROR(SUM(Finance!V$5:V$205))*1</f>
        <v>0</v>
      </c>
      <c r="W66" s="61">
        <f>ISERROR(SUM(Finance!W$5:W$205))*1</f>
        <v>0</v>
      </c>
      <c r="X66" s="61">
        <f>ISERROR(SUM(Finance!X$5:X$205))*1</f>
        <v>0</v>
      </c>
      <c r="Y66" s="61">
        <f>ISERROR(SUM(Finance!Y$5:Y$205))*1</f>
        <v>0</v>
      </c>
      <c r="Z66" s="61">
        <f>ISERROR(SUM(Finance!Z$5:Z$205))*1</f>
        <v>0</v>
      </c>
      <c r="AA66" s="61">
        <f>ISERROR(SUM(Finance!AA$5:AA$205))*1</f>
        <v>0</v>
      </c>
      <c r="AB66" s="61">
        <f>ISERROR(SUM(Finance!AB$5:AB$205))*1</f>
        <v>0</v>
      </c>
      <c r="AC66" s="61">
        <f>ISERROR(SUM(Finance!AC$5:AC$205))*1</f>
        <v>0</v>
      </c>
      <c r="AD66" s="61">
        <f>ISERROR(SUM(Finance!AD$5:AD$205))*1</f>
        <v>0</v>
      </c>
      <c r="AE66" s="61">
        <f>ISERROR(SUM(Finance!AE$5:AE$205))*1</f>
        <v>0</v>
      </c>
      <c r="AF66" s="61">
        <f>ISERROR(SUM(Finance!AF$5:AF$205))*1</f>
        <v>0</v>
      </c>
      <c r="AG66" s="61">
        <f>ISERROR(SUM(Finance!AG$5:AG$205))*1</f>
        <v>0</v>
      </c>
      <c r="AH66" s="61">
        <f>ISERROR(SUM(Finance!AH$5:AH$205))*1</f>
        <v>0</v>
      </c>
      <c r="AI66" s="61">
        <f>ISERROR(SUM(Finance!AI$5:AI$205))*1</f>
        <v>0</v>
      </c>
      <c r="AJ66" s="61">
        <f>ISERROR(SUM(Finance!AJ$5:AJ$205))*1</f>
        <v>0</v>
      </c>
      <c r="AK66" s="61">
        <f>ISERROR(SUM(Finance!AK$5:AK$205))*1</f>
        <v>0</v>
      </c>
      <c r="AL66" s="61">
        <f>ISERROR(SUM(Finance!AL$5:AL$205))*1</f>
        <v>0</v>
      </c>
      <c r="AM66" s="61">
        <f>ISERROR(SUM(Finance!AM$5:AM$205))*1</f>
        <v>0</v>
      </c>
      <c r="AN66" s="61">
        <f>ISERROR(SUM(Finance!AN$5:AN$205))*1</f>
        <v>0</v>
      </c>
      <c r="AO66" s="61">
        <f>ISERROR(SUM(Finance!AO$5:AO$205))*1</f>
        <v>0</v>
      </c>
      <c r="AP66" s="61">
        <f>ISERROR(SUM(Finance!AP$5:AP$205))*1</f>
        <v>0</v>
      </c>
      <c r="AQ66" s="61">
        <f>ISERROR(SUM(Finance!AQ$5:AQ$205))*1</f>
        <v>0</v>
      </c>
      <c r="AR66" s="61">
        <f>ISERROR(SUM(Finance!AR$5:AR$205))*1</f>
        <v>0</v>
      </c>
      <c r="AS66" s="61">
        <f>ISERROR(SUM(Finance!AS$5:AS$205))*1</f>
        <v>0</v>
      </c>
      <c r="AT66" s="89">
        <f>ISERROR(SUM(Finance!AT$5:AT$205))*1</f>
        <v>0</v>
      </c>
      <c r="AU66" s="96">
        <f ca="1">ISERROR(SUM(Finance!AU$5:AU$205))*1</f>
        <v>0</v>
      </c>
      <c r="AV66" s="61">
        <f ca="1">ISERROR(SUM(Finance!AV$5:AV$205))*1</f>
        <v>0</v>
      </c>
      <c r="AW66" s="61">
        <f ca="1">ISERROR(SUM(Finance!AW$5:AW$205))*1</f>
        <v>0</v>
      </c>
      <c r="AX66" s="61">
        <f ca="1">ISERROR(SUM(Finance!AX$5:AX$205))*1</f>
        <v>0</v>
      </c>
      <c r="AY66" s="61">
        <f ca="1">ISERROR(SUM(Finance!AY$5:AY$205))*1</f>
        <v>0</v>
      </c>
    </row>
    <row r="67" spans="1:51" customFormat="1" ht="14.5">
      <c r="E67" t="s">
        <v>277</v>
      </c>
      <c r="I67" s="61">
        <f>ISERROR(SUM(Tax!I$5:I$198))*1</f>
        <v>0</v>
      </c>
      <c r="K67" s="61">
        <f>ISERROR(SUM(Tax!K$5:K$198))*1</f>
        <v>0</v>
      </c>
      <c r="L67" s="61">
        <f>ISERROR(SUM(Tax!L$5:L$198))*1</f>
        <v>0</v>
      </c>
      <c r="M67" s="61">
        <f>ISERROR(SUM(Tax!M$5:M$198))*1</f>
        <v>0</v>
      </c>
      <c r="N67" s="61">
        <f>ISERROR(SUM(Tax!N$5:N$198))*1</f>
        <v>0</v>
      </c>
      <c r="O67" s="61">
        <f>ISERROR(SUM(Tax!O$5:O$198))*1</f>
        <v>0</v>
      </c>
      <c r="P67" s="61">
        <f>ISERROR(SUM(Tax!P$5:P$198))*1</f>
        <v>0</v>
      </c>
      <c r="Q67" s="61">
        <f>ISERROR(SUM(Tax!Q$5:Q$198))*1</f>
        <v>0</v>
      </c>
      <c r="R67" s="61">
        <f>ISERROR(SUM(Tax!R$5:R$198))*1</f>
        <v>0</v>
      </c>
      <c r="S67" s="61">
        <f>ISERROR(SUM(Tax!S$5:S$198))*1</f>
        <v>0</v>
      </c>
      <c r="T67" s="61">
        <f>ISERROR(SUM(Tax!T$5:T$198))*1</f>
        <v>0</v>
      </c>
      <c r="U67" s="61">
        <f>ISERROR(SUM(Tax!U$5:U$198))*1</f>
        <v>0</v>
      </c>
      <c r="V67" s="61">
        <f>ISERROR(SUM(Tax!V$5:V$198))*1</f>
        <v>0</v>
      </c>
      <c r="W67" s="61">
        <f>ISERROR(SUM(Tax!W$5:W$198))*1</f>
        <v>0</v>
      </c>
      <c r="X67" s="61">
        <f>ISERROR(SUM(Tax!X$5:X$198))*1</f>
        <v>0</v>
      </c>
      <c r="Y67" s="61">
        <f>ISERROR(SUM(Tax!Y$5:Y$198))*1</f>
        <v>0</v>
      </c>
      <c r="Z67" s="61">
        <f>ISERROR(SUM(Tax!Z$5:Z$198))*1</f>
        <v>0</v>
      </c>
      <c r="AA67" s="61">
        <f>ISERROR(SUM(Tax!AA$5:AA$198))*1</f>
        <v>0</v>
      </c>
      <c r="AB67" s="61">
        <f>ISERROR(SUM(Tax!AB$5:AB$198))*1</f>
        <v>0</v>
      </c>
      <c r="AC67" s="61">
        <f>ISERROR(SUM(Tax!AC$5:AC$198))*1</f>
        <v>0</v>
      </c>
      <c r="AD67" s="61">
        <f>ISERROR(SUM(Tax!AD$5:AD$198))*1</f>
        <v>0</v>
      </c>
      <c r="AE67" s="61">
        <f>ISERROR(SUM(Tax!AE$5:AE$198))*1</f>
        <v>0</v>
      </c>
      <c r="AF67" s="61">
        <f>ISERROR(SUM(Tax!AF$5:AF$198))*1</f>
        <v>0</v>
      </c>
      <c r="AG67" s="61">
        <f>ISERROR(SUM(Tax!AG$5:AG$198))*1</f>
        <v>0</v>
      </c>
      <c r="AH67" s="61">
        <f>ISERROR(SUM(Tax!AH$5:AH$198))*1</f>
        <v>0</v>
      </c>
      <c r="AI67" s="61">
        <f>ISERROR(SUM(Tax!AI$5:AI$198))*1</f>
        <v>0</v>
      </c>
      <c r="AJ67" s="61">
        <f>ISERROR(SUM(Tax!AJ$5:AJ$198))*1</f>
        <v>0</v>
      </c>
      <c r="AK67" s="61">
        <f>ISERROR(SUM(Tax!AK$5:AK$198))*1</f>
        <v>0</v>
      </c>
      <c r="AL67" s="61">
        <f>ISERROR(SUM(Tax!AL$5:AL$198))*1</f>
        <v>0</v>
      </c>
      <c r="AM67" s="61">
        <f>ISERROR(SUM(Tax!AM$5:AM$198))*1</f>
        <v>0</v>
      </c>
      <c r="AN67" s="61">
        <f>ISERROR(SUM(Tax!AN$5:AN$198))*1</f>
        <v>0</v>
      </c>
      <c r="AO67" s="61">
        <f>ISERROR(SUM(Tax!AO$5:AO$198))*1</f>
        <v>0</v>
      </c>
      <c r="AP67" s="61">
        <f>ISERROR(SUM(Tax!AP$5:AP$198))*1</f>
        <v>0</v>
      </c>
      <c r="AQ67" s="61">
        <f>ISERROR(SUM(Tax!AQ$5:AQ$198))*1</f>
        <v>0</v>
      </c>
      <c r="AR67" s="61">
        <f>ISERROR(SUM(Tax!AR$5:AR$198))*1</f>
        <v>0</v>
      </c>
      <c r="AS67" s="61">
        <f>ISERROR(SUM(Tax!AS$5:AS$198))*1</f>
        <v>0</v>
      </c>
      <c r="AT67" s="89">
        <f>ISERROR(SUM(Tax!AT$5:AT$198))*1</f>
        <v>0</v>
      </c>
      <c r="AU67" s="96">
        <f ca="1">ISERROR(SUM(Tax!AU$5:AU$198))*1</f>
        <v>0</v>
      </c>
      <c r="AV67" s="61">
        <f ca="1">ISERROR(SUM(Tax!AV$5:AV$198))*1</f>
        <v>0</v>
      </c>
      <c r="AW67" s="61">
        <f ca="1">ISERROR(SUM(Tax!AW$5:AW$198))*1</f>
        <v>0</v>
      </c>
      <c r="AX67" s="61">
        <f ca="1">ISERROR(SUM(Tax!AX$5:AX$198))*1</f>
        <v>0</v>
      </c>
      <c r="AY67" s="61">
        <f ca="1">ISERROR(SUM(Tax!AY$5:AY$198))*1</f>
        <v>0</v>
      </c>
    </row>
    <row r="68" spans="1:51" customFormat="1" ht="14.5">
      <c r="E68" t="s">
        <v>604</v>
      </c>
      <c r="I68" s="61">
        <f>ISERROR(SUM(Calculations_SO!I$5:I$504))*1</f>
        <v>0</v>
      </c>
      <c r="K68" s="61">
        <f>ISERROR(SUM(Calculations_SO!K$5:K$504))*1</f>
        <v>0</v>
      </c>
      <c r="L68" s="61">
        <f>ISERROR(SUM(Calculations_SO!L$5:L$504))*1</f>
        <v>0</v>
      </c>
      <c r="M68" s="61">
        <f>ISERROR(SUM(Calculations_SO!M$5:M$504))*1</f>
        <v>0</v>
      </c>
      <c r="N68" s="61">
        <f>ISERROR(SUM(Calculations_SO!N$5:N$504))*1</f>
        <v>0</v>
      </c>
      <c r="O68" s="61">
        <f>ISERROR(SUM(Calculations_SO!O$5:O$504))*1</f>
        <v>0</v>
      </c>
      <c r="P68" s="61">
        <f>ISERROR(SUM(Calculations_SO!P$5:P$504))*1</f>
        <v>0</v>
      </c>
      <c r="Q68" s="61">
        <f>ISERROR(SUM(Calculations_SO!Q$5:Q$504))*1</f>
        <v>0</v>
      </c>
      <c r="R68" s="61">
        <f>ISERROR(SUM(Calculations_SO!R$5:R$504))*1</f>
        <v>0</v>
      </c>
      <c r="S68" s="61">
        <f>ISERROR(SUM(Calculations_SO!S$5:S$504))*1</f>
        <v>0</v>
      </c>
      <c r="T68" s="61">
        <f>ISERROR(SUM(Calculations_SO!T$5:T$504))*1</f>
        <v>0</v>
      </c>
      <c r="U68" s="61">
        <f>ISERROR(SUM(Calculations_SO!U$5:U$504))*1</f>
        <v>0</v>
      </c>
      <c r="V68" s="61">
        <f>ISERROR(SUM(Calculations_SO!V$5:V$504))*1</f>
        <v>0</v>
      </c>
      <c r="W68" s="61">
        <f>ISERROR(SUM(Calculations_SO!W$5:W$504))*1</f>
        <v>0</v>
      </c>
      <c r="X68" s="61">
        <f>ISERROR(SUM(Calculations_SO!X$5:X$504))*1</f>
        <v>0</v>
      </c>
      <c r="Y68" s="61">
        <f>ISERROR(SUM(Calculations_SO!Y$5:Y$504))*1</f>
        <v>0</v>
      </c>
      <c r="Z68" s="61">
        <f>ISERROR(SUM(Calculations_SO!Z$5:Z$504))*1</f>
        <v>0</v>
      </c>
      <c r="AA68" s="61">
        <f>ISERROR(SUM(Calculations_SO!AA$5:AA$504))*1</f>
        <v>0</v>
      </c>
      <c r="AB68" s="61">
        <f>ISERROR(SUM(Calculations_SO!AB$5:AB$504))*1</f>
        <v>0</v>
      </c>
      <c r="AC68" s="61">
        <f>ISERROR(SUM(Calculations_SO!AC$5:AC$504))*1</f>
        <v>0</v>
      </c>
      <c r="AD68" s="61">
        <f>ISERROR(SUM(Calculations_SO!AD$5:AD$504))*1</f>
        <v>0</v>
      </c>
      <c r="AE68" s="61">
        <f>ISERROR(SUM(Calculations_SO!AE$5:AE$504))*1</f>
        <v>0</v>
      </c>
      <c r="AF68" s="61">
        <f>ISERROR(SUM(Calculations_SO!AF$5:AF$504))*1</f>
        <v>0</v>
      </c>
      <c r="AG68" s="61">
        <f>ISERROR(SUM(Calculations_SO!AG$5:AG$504))*1</f>
        <v>0</v>
      </c>
      <c r="AH68" s="61">
        <f>ISERROR(SUM(Calculations_SO!AH$5:AH$504))*1</f>
        <v>0</v>
      </c>
      <c r="AI68" s="61">
        <f>ISERROR(SUM(Calculations_SO!AI$5:AI$504))*1</f>
        <v>0</v>
      </c>
      <c r="AJ68" s="61">
        <f>ISERROR(SUM(Calculations_SO!AJ$5:AJ$504))*1</f>
        <v>0</v>
      </c>
      <c r="AK68" s="61">
        <f>ISERROR(SUM(Calculations_SO!AK$5:AK$504))*1</f>
        <v>0</v>
      </c>
      <c r="AL68" s="61">
        <f>ISERROR(SUM(Calculations_SO!AL$5:AL$504))*1</f>
        <v>0</v>
      </c>
      <c r="AM68" s="61">
        <f>ISERROR(SUM(Calculations_SO!AM$5:AM$504))*1</f>
        <v>0</v>
      </c>
      <c r="AN68" s="61">
        <f>ISERROR(SUM(Calculations_SO!AN$5:AN$504))*1</f>
        <v>0</v>
      </c>
      <c r="AO68" s="61">
        <f>ISERROR(SUM(Calculations_SO!AO$5:AO$504))*1</f>
        <v>0</v>
      </c>
      <c r="AP68" s="61">
        <f>ISERROR(SUM(Calculations_SO!AP$5:AP$504))*1</f>
        <v>0</v>
      </c>
      <c r="AQ68" s="61">
        <f>ISERROR(SUM(Calculations_SO!AQ$5:AQ$504))*1</f>
        <v>0</v>
      </c>
      <c r="AR68" s="61">
        <f>ISERROR(SUM(Calculations_SO!AR$5:AR$504))*1</f>
        <v>0</v>
      </c>
      <c r="AS68" s="61">
        <f>ISERROR(SUM(Calculations_SO!AS$5:AS$504))*1</f>
        <v>0</v>
      </c>
      <c r="AT68" s="89">
        <f>ISERROR(SUM(Calculations_SO!AT$5:AT$504))*1</f>
        <v>0</v>
      </c>
      <c r="AU68" s="96">
        <f ca="1">ISERROR(SUM(Calculations_SO!AU$5:AU$504))*1</f>
        <v>0</v>
      </c>
      <c r="AV68" s="61">
        <f ca="1">ISERROR(SUM(Calculations_SO!AV$5:AV$504))*1</f>
        <v>0</v>
      </c>
      <c r="AW68" s="61">
        <f ca="1">ISERROR(SUM(Calculations_SO!AW$5:AW$504))*1</f>
        <v>0</v>
      </c>
      <c r="AX68" s="61">
        <f ca="1">ISERROR(SUM(Calculations_SO!AX$5:AX$504))*1</f>
        <v>0</v>
      </c>
      <c r="AY68" s="61">
        <f ca="1">ISERROR(SUM(Calculations_SO!AY$5:AY$504))*1</f>
        <v>0</v>
      </c>
    </row>
    <row r="69" spans="1:51" customFormat="1" ht="14.5">
      <c r="E69" t="s">
        <v>759</v>
      </c>
      <c r="I69" s="61">
        <f>ISERROR(SUM(ReturnAdj!I$5:I$201))*1</f>
        <v>0</v>
      </c>
      <c r="K69" s="61">
        <f>ISERROR(SUM(ReturnAdj!K$5:K$201))*1</f>
        <v>0</v>
      </c>
      <c r="L69" s="61">
        <f>ISERROR(SUM(ReturnAdj!L$5:L$201))*1</f>
        <v>0</v>
      </c>
      <c r="M69" s="61">
        <f>ISERROR(SUM(ReturnAdj!M$5:M$201))*1</f>
        <v>0</v>
      </c>
      <c r="N69" s="61">
        <f>ISERROR(SUM(ReturnAdj!N$5:N$201))*1</f>
        <v>0</v>
      </c>
      <c r="O69" s="61">
        <f>ISERROR(SUM(ReturnAdj!O$5:O$201))*1</f>
        <v>0</v>
      </c>
      <c r="P69" s="61">
        <f>ISERROR(SUM(ReturnAdj!P$5:P$201))*1</f>
        <v>0</v>
      </c>
      <c r="Q69" s="61">
        <f>ISERROR(SUM(ReturnAdj!Q$5:Q$201))*1</f>
        <v>0</v>
      </c>
      <c r="R69" s="61">
        <f>ISERROR(SUM(ReturnAdj!R$5:R$201))*1</f>
        <v>0</v>
      </c>
      <c r="S69" s="61">
        <f>ISERROR(SUM(ReturnAdj!S$5:S$201))*1</f>
        <v>0</v>
      </c>
      <c r="T69" s="61">
        <f>ISERROR(SUM(ReturnAdj!T$5:T$201))*1</f>
        <v>0</v>
      </c>
      <c r="U69" s="61">
        <f>ISERROR(SUM(ReturnAdj!U$5:U$201))*1</f>
        <v>0</v>
      </c>
      <c r="V69" s="61">
        <f>ISERROR(SUM(ReturnAdj!V$5:V$201))*1</f>
        <v>0</v>
      </c>
      <c r="W69" s="61">
        <f>ISERROR(SUM(ReturnAdj!W$5:W$201))*1</f>
        <v>0</v>
      </c>
      <c r="X69" s="61">
        <f>ISERROR(SUM(ReturnAdj!X$5:X$201))*1</f>
        <v>0</v>
      </c>
      <c r="Y69" s="61">
        <f>ISERROR(SUM(ReturnAdj!Y$5:Y$201))*1</f>
        <v>0</v>
      </c>
      <c r="Z69" s="61">
        <f>ISERROR(SUM(ReturnAdj!Z$5:Z$201))*1</f>
        <v>0</v>
      </c>
      <c r="AA69" s="61">
        <f>ISERROR(SUM(ReturnAdj!AA$5:AA$201))*1</f>
        <v>0</v>
      </c>
      <c r="AB69" s="61">
        <f>ISERROR(SUM(ReturnAdj!AB$5:AB$201))*1</f>
        <v>0</v>
      </c>
      <c r="AC69" s="61">
        <f>ISERROR(SUM(ReturnAdj!AC$5:AC$201))*1</f>
        <v>0</v>
      </c>
      <c r="AD69" s="61">
        <f>ISERROR(SUM(ReturnAdj!AD$5:AD$201))*1</f>
        <v>0</v>
      </c>
      <c r="AE69" s="61">
        <f>ISERROR(SUM(ReturnAdj!AE$5:AE$201))*1</f>
        <v>0</v>
      </c>
      <c r="AF69" s="61">
        <f>ISERROR(SUM(ReturnAdj!AF$5:AF$201))*1</f>
        <v>0</v>
      </c>
      <c r="AG69" s="61">
        <f>ISERROR(SUM(ReturnAdj!AG$5:AG$201))*1</f>
        <v>0</v>
      </c>
      <c r="AH69" s="61">
        <f>ISERROR(SUM(ReturnAdj!AH$5:AH$201))*1</f>
        <v>0</v>
      </c>
      <c r="AI69" s="61">
        <f>ISERROR(SUM(ReturnAdj!AI$5:AI$201))*1</f>
        <v>0</v>
      </c>
      <c r="AJ69" s="61">
        <f>ISERROR(SUM(ReturnAdj!AJ$5:AJ$201))*1</f>
        <v>0</v>
      </c>
      <c r="AK69" s="61">
        <f>ISERROR(SUM(ReturnAdj!AK$5:AK$201))*1</f>
        <v>0</v>
      </c>
      <c r="AL69" s="61">
        <f>ISERROR(SUM(ReturnAdj!AL$5:AL$201))*1</f>
        <v>0</v>
      </c>
      <c r="AM69" s="61">
        <f>ISERROR(SUM(ReturnAdj!AM$5:AM$201))*1</f>
        <v>0</v>
      </c>
      <c r="AN69" s="61">
        <f>ISERROR(SUM(ReturnAdj!AN$5:AN$201))*1</f>
        <v>0</v>
      </c>
      <c r="AO69" s="61">
        <f>ISERROR(SUM(ReturnAdj!AO$5:AO$201))*1</f>
        <v>0</v>
      </c>
      <c r="AP69" s="61">
        <f>ISERROR(SUM(ReturnAdj!AP$5:AP$201))*1</f>
        <v>0</v>
      </c>
      <c r="AQ69" s="61">
        <f>ISERROR(SUM(ReturnAdj!AQ$5:AQ$201))*1</f>
        <v>0</v>
      </c>
      <c r="AR69" s="61">
        <f>ISERROR(SUM(ReturnAdj!AR$5:AR$201))*1</f>
        <v>0</v>
      </c>
      <c r="AS69" s="61">
        <f>ISERROR(SUM(ReturnAdj!AS$5:AS$201))*1</f>
        <v>0</v>
      </c>
      <c r="AT69" s="89">
        <f>ISERROR(SUM(ReturnAdj!AT$5:AT$201))*1</f>
        <v>0</v>
      </c>
      <c r="AU69" s="96">
        <f>ISERROR(SUM(ReturnAdj!AU$5:AU$201))*1</f>
        <v>0</v>
      </c>
      <c r="AV69" s="61">
        <f>ISERROR(SUM(ReturnAdj!AV$5:AV$201))*1</f>
        <v>0</v>
      </c>
      <c r="AW69" s="61">
        <f>ISERROR(SUM(ReturnAdj!AW$5:AW$201))*1</f>
        <v>0</v>
      </c>
      <c r="AX69" s="61">
        <f>ISERROR(SUM(ReturnAdj!AX$5:AX$201))*1</f>
        <v>0</v>
      </c>
      <c r="AY69" s="61">
        <f>ISERROR(SUM(ReturnAdj!AY$5:AY$201))*1</f>
        <v>0</v>
      </c>
    </row>
    <row r="70" spans="1:51" customFormat="1" ht="14.5">
      <c r="E70" t="s">
        <v>504</v>
      </c>
      <c r="I70" s="61">
        <f>ISERROR(SUM(Revenue_TO!I$5:I$201))*1</f>
        <v>0</v>
      </c>
      <c r="K70" s="61">
        <f>ISERROR(SUM(Revenue_TO!K$5:K$201))*1</f>
        <v>0</v>
      </c>
      <c r="L70" s="61">
        <f>ISERROR(SUM(Revenue_TO!L$5:L$201))*1</f>
        <v>0</v>
      </c>
      <c r="M70" s="61">
        <f>ISERROR(SUM(Revenue_TO!M$5:M$201))*1</f>
        <v>0</v>
      </c>
      <c r="N70" s="61">
        <f>ISERROR(SUM(Revenue_TO!N$5:N$201))*1</f>
        <v>0</v>
      </c>
      <c r="O70" s="61">
        <f>ISERROR(SUM(Revenue_TO!O$5:O$201))*1</f>
        <v>0</v>
      </c>
      <c r="P70" s="61">
        <f>ISERROR(SUM(Revenue_TO!P$5:P$201))*1</f>
        <v>0</v>
      </c>
      <c r="Q70" s="61">
        <f>ISERROR(SUM(Revenue_TO!Q$5:Q$201))*1</f>
        <v>0</v>
      </c>
      <c r="R70" s="61">
        <f>ISERROR(SUM(Revenue_TO!R$5:R$201))*1</f>
        <v>0</v>
      </c>
      <c r="S70" s="61">
        <f>ISERROR(SUM(Revenue_TO!S$5:S$201))*1</f>
        <v>0</v>
      </c>
      <c r="T70" s="61">
        <f>ISERROR(SUM(Revenue_TO!T$5:T$201))*1</f>
        <v>0</v>
      </c>
      <c r="U70" s="61">
        <f>ISERROR(SUM(Revenue_TO!U$5:U$201))*1</f>
        <v>0</v>
      </c>
      <c r="V70" s="61">
        <f>ISERROR(SUM(Revenue_TO!V$5:V$201))*1</f>
        <v>0</v>
      </c>
      <c r="W70" s="61">
        <f>ISERROR(SUM(Revenue_TO!W$5:W$201))*1</f>
        <v>0</v>
      </c>
      <c r="X70" s="61">
        <f>ISERROR(SUM(Revenue_TO!X$5:X$201))*1</f>
        <v>0</v>
      </c>
      <c r="Y70" s="61">
        <f>ISERROR(SUM(Revenue_TO!Y$5:Y$201))*1</f>
        <v>0</v>
      </c>
      <c r="Z70" s="61">
        <f>ISERROR(SUM(Revenue_TO!Z$5:Z$201))*1</f>
        <v>0</v>
      </c>
      <c r="AA70" s="61">
        <f>ISERROR(SUM(Revenue_TO!AA$5:AA$201))*1</f>
        <v>0</v>
      </c>
      <c r="AB70" s="61">
        <f>ISERROR(SUM(Revenue_TO!AB$5:AB$201))*1</f>
        <v>0</v>
      </c>
      <c r="AC70" s="61">
        <f>ISERROR(SUM(Revenue_TO!AC$5:AC$201))*1</f>
        <v>0</v>
      </c>
      <c r="AD70" s="61">
        <f>ISERROR(SUM(Revenue_TO!AD$5:AD$201))*1</f>
        <v>0</v>
      </c>
      <c r="AE70" s="61">
        <f>ISERROR(SUM(Revenue_TO!AE$5:AE$201))*1</f>
        <v>0</v>
      </c>
      <c r="AF70" s="61">
        <f>ISERROR(SUM(Revenue_TO!AF$5:AF$201))*1</f>
        <v>0</v>
      </c>
      <c r="AG70" s="61">
        <f>ISERROR(SUM(Revenue_TO!AG$5:AG$201))*1</f>
        <v>0</v>
      </c>
      <c r="AH70" s="61">
        <f>ISERROR(SUM(Revenue_TO!AH$5:AH$201))*1</f>
        <v>0</v>
      </c>
      <c r="AI70" s="61">
        <f>ISERROR(SUM(Revenue_TO!AI$5:AI$201))*1</f>
        <v>0</v>
      </c>
      <c r="AJ70" s="61">
        <f>ISERROR(SUM(Revenue_TO!AJ$5:AJ$201))*1</f>
        <v>0</v>
      </c>
      <c r="AK70" s="61">
        <f>ISERROR(SUM(Revenue_TO!AK$5:AK$201))*1</f>
        <v>0</v>
      </c>
      <c r="AL70" s="61">
        <f>ISERROR(SUM(Revenue_TO!AL$5:AL$201))*1</f>
        <v>0</v>
      </c>
      <c r="AM70" s="61">
        <f>ISERROR(SUM(Revenue_TO!AM$5:AM$201))*1</f>
        <v>0</v>
      </c>
      <c r="AN70" s="61">
        <f>ISERROR(SUM(Revenue_TO!AN$5:AN$201))*1</f>
        <v>0</v>
      </c>
      <c r="AO70" s="61">
        <f>ISERROR(SUM(Revenue_TO!AO$5:AO$201))*1</f>
        <v>0</v>
      </c>
      <c r="AP70" s="61">
        <f>ISERROR(SUM(Revenue_TO!AP$5:AP$201))*1</f>
        <v>0</v>
      </c>
      <c r="AQ70" s="61">
        <f>ISERROR(SUM(Revenue_TO!AQ$5:AQ$201))*1</f>
        <v>0</v>
      </c>
      <c r="AR70" s="61">
        <f>ISERROR(SUM(Revenue_TO!AR$5:AR$201))*1</f>
        <v>0</v>
      </c>
      <c r="AS70" s="61">
        <f>ISERROR(SUM(Revenue_TO!AS$5:AS$201))*1</f>
        <v>0</v>
      </c>
      <c r="AT70" s="89">
        <f>ISERROR(SUM(Revenue_TO!AT$5:AT$201))*1</f>
        <v>0</v>
      </c>
      <c r="AU70" s="96">
        <f ca="1">ISERROR(SUM(Revenue_TO!AU$5:AU$201))*1</f>
        <v>0</v>
      </c>
      <c r="AV70" s="61">
        <f ca="1">ISERROR(SUM(Revenue_TO!AV$5:AV$201))*1</f>
        <v>0</v>
      </c>
      <c r="AW70" s="61">
        <f ca="1">ISERROR(SUM(Revenue_TO!AW$5:AW$201))*1</f>
        <v>0</v>
      </c>
      <c r="AX70" s="61">
        <f ca="1">ISERROR(SUM(Revenue_TO!AX$5:AX$201))*1</f>
        <v>0</v>
      </c>
      <c r="AY70" s="61">
        <f ca="1">ISERROR(SUM(Revenue_TO!AY$5:AY$201))*1</f>
        <v>0</v>
      </c>
    </row>
    <row r="71" spans="1:51" customFormat="1" ht="14.5">
      <c r="E71" t="s">
        <v>505</v>
      </c>
      <c r="I71" s="61">
        <f>ISERROR(SUM(Revenue_SO!I$5:I$200))*1</f>
        <v>0</v>
      </c>
      <c r="K71" s="61">
        <f>ISERROR(SUM(Revenue_SO!K$5:K$200))*1</f>
        <v>0</v>
      </c>
      <c r="L71" s="61">
        <f>ISERROR(SUM(Revenue_SO!L$5:L$200))*1</f>
        <v>0</v>
      </c>
      <c r="M71" s="61">
        <f>ISERROR(SUM(Revenue_SO!M$5:M$200))*1</f>
        <v>0</v>
      </c>
      <c r="N71" s="61">
        <f>ISERROR(SUM(Revenue_SO!N$5:N$200))*1</f>
        <v>0</v>
      </c>
      <c r="O71" s="61">
        <f>ISERROR(SUM(Revenue_SO!O$5:O$200))*1</f>
        <v>0</v>
      </c>
      <c r="P71" s="61">
        <f>ISERROR(SUM(Revenue_SO!P$5:P$200))*1</f>
        <v>0</v>
      </c>
      <c r="Q71" s="61">
        <f>ISERROR(SUM(Revenue_SO!Q$5:Q$200))*1</f>
        <v>0</v>
      </c>
      <c r="R71" s="61">
        <f>ISERROR(SUM(Revenue_SO!R$5:R$200))*1</f>
        <v>0</v>
      </c>
      <c r="S71" s="61">
        <f>ISERROR(SUM(Revenue_SO!S$5:S$200))*1</f>
        <v>0</v>
      </c>
      <c r="T71" s="61">
        <f>ISERROR(SUM(Revenue_SO!T$5:T$200))*1</f>
        <v>0</v>
      </c>
      <c r="U71" s="61">
        <f>ISERROR(SUM(Revenue_SO!U$5:U$200))*1</f>
        <v>0</v>
      </c>
      <c r="V71" s="61">
        <f>ISERROR(SUM(Revenue_SO!V$5:V$200))*1</f>
        <v>0</v>
      </c>
      <c r="W71" s="61">
        <f>ISERROR(SUM(Revenue_SO!W$5:W$200))*1</f>
        <v>0</v>
      </c>
      <c r="X71" s="61">
        <f>ISERROR(SUM(Revenue_SO!X$5:X$200))*1</f>
        <v>0</v>
      </c>
      <c r="Y71" s="61">
        <f>ISERROR(SUM(Revenue_SO!Y$5:Y$200))*1</f>
        <v>0</v>
      </c>
      <c r="Z71" s="61">
        <f>ISERROR(SUM(Revenue_SO!Z$5:Z$200))*1</f>
        <v>0</v>
      </c>
      <c r="AA71" s="61">
        <f>ISERROR(SUM(Revenue_SO!AA$5:AA$200))*1</f>
        <v>0</v>
      </c>
      <c r="AB71" s="61">
        <f>ISERROR(SUM(Revenue_SO!AB$5:AB$200))*1</f>
        <v>0</v>
      </c>
      <c r="AC71" s="61">
        <f>ISERROR(SUM(Revenue_SO!AC$5:AC$200))*1</f>
        <v>0</v>
      </c>
      <c r="AD71" s="61">
        <f>ISERROR(SUM(Revenue_SO!AD$5:AD$200))*1</f>
        <v>0</v>
      </c>
      <c r="AE71" s="61">
        <f>ISERROR(SUM(Revenue_SO!AE$5:AE$200))*1</f>
        <v>0</v>
      </c>
      <c r="AF71" s="61">
        <f>ISERROR(SUM(Revenue_SO!AF$5:AF$200))*1</f>
        <v>0</v>
      </c>
      <c r="AG71" s="61">
        <f>ISERROR(SUM(Revenue_SO!AG$5:AG$200))*1</f>
        <v>0</v>
      </c>
      <c r="AH71" s="61">
        <f>ISERROR(SUM(Revenue_SO!AH$5:AH$200))*1</f>
        <v>0</v>
      </c>
      <c r="AI71" s="61">
        <f>ISERROR(SUM(Revenue_SO!AI$5:AI$200))*1</f>
        <v>0</v>
      </c>
      <c r="AJ71" s="61">
        <f>ISERROR(SUM(Revenue_SO!AJ$5:AJ$200))*1</f>
        <v>0</v>
      </c>
      <c r="AK71" s="61">
        <f>ISERROR(SUM(Revenue_SO!AK$5:AK$200))*1</f>
        <v>0</v>
      </c>
      <c r="AL71" s="61">
        <f>ISERROR(SUM(Revenue_SO!AL$5:AL$200))*1</f>
        <v>0</v>
      </c>
      <c r="AM71" s="61">
        <f>ISERROR(SUM(Revenue_SO!AM$5:AM$200))*1</f>
        <v>0</v>
      </c>
      <c r="AN71" s="61">
        <f>ISERROR(SUM(Revenue_SO!AN$5:AN$200))*1</f>
        <v>0</v>
      </c>
      <c r="AO71" s="61">
        <f>ISERROR(SUM(Revenue_SO!AO$5:AO$200))*1</f>
        <v>0</v>
      </c>
      <c r="AP71" s="61">
        <f>ISERROR(SUM(Revenue_SO!AP$5:AP$200))*1</f>
        <v>0</v>
      </c>
      <c r="AQ71" s="61">
        <f>ISERROR(SUM(Revenue_SO!AQ$5:AQ$200))*1</f>
        <v>0</v>
      </c>
      <c r="AR71" s="61">
        <f>ISERROR(SUM(Revenue_SO!AR$5:AR$200))*1</f>
        <v>0</v>
      </c>
      <c r="AS71" s="61">
        <f>ISERROR(SUM(Revenue_SO!AS$5:AS$200))*1</f>
        <v>0</v>
      </c>
      <c r="AT71" s="89">
        <f>ISERROR(SUM(Revenue_SO!AT$5:AT$200))*1</f>
        <v>0</v>
      </c>
      <c r="AU71" s="96">
        <f ca="1">ISERROR(SUM(Revenue_SO!AU$5:AU$200))*1</f>
        <v>0</v>
      </c>
      <c r="AV71" s="61">
        <f ca="1">ISERROR(SUM(Revenue_SO!AV$5:AV$200))*1</f>
        <v>0</v>
      </c>
      <c r="AW71" s="61">
        <f ca="1">ISERROR(SUM(Revenue_SO!AW$5:AW$200))*1</f>
        <v>0</v>
      </c>
      <c r="AX71" s="61">
        <f ca="1">ISERROR(SUM(Revenue_SO!AX$5:AX$200))*1</f>
        <v>0</v>
      </c>
      <c r="AY71" s="61">
        <f ca="1">ISERROR(SUM(Revenue_SO!AY$5:AY$200))*1</f>
        <v>0</v>
      </c>
    </row>
    <row r="72" spans="1:51" customFormat="1" ht="14.5">
      <c r="E72" t="s">
        <v>517</v>
      </c>
      <c r="I72" s="61">
        <f>ISERROR(SUM(AllowedRevenue_TO!I$5:I$199))*1</f>
        <v>0</v>
      </c>
      <c r="K72" s="61">
        <f>ISERROR(SUM(AllowedRevenue_TO!K$5:K$199))*1</f>
        <v>0</v>
      </c>
      <c r="L72" s="61">
        <f>ISERROR(SUM(AllowedRevenue_TO!L$5:L$199))*1</f>
        <v>0</v>
      </c>
      <c r="M72" s="61">
        <f>ISERROR(SUM(AllowedRevenue_TO!M$5:M$199))*1</f>
        <v>0</v>
      </c>
      <c r="N72" s="61">
        <f>ISERROR(SUM(AllowedRevenue_TO!N$5:N$199))*1</f>
        <v>0</v>
      </c>
      <c r="O72" s="61">
        <f>ISERROR(SUM(AllowedRevenue_TO!O$5:O$199))*1</f>
        <v>0</v>
      </c>
      <c r="P72" s="61">
        <f>ISERROR(SUM(AllowedRevenue_TO!P$5:P$199))*1</f>
        <v>0</v>
      </c>
      <c r="Q72" s="61">
        <f>ISERROR(SUM(AllowedRevenue_TO!Q$5:Q$199))*1</f>
        <v>0</v>
      </c>
      <c r="R72" s="61">
        <f>ISERROR(SUM(AllowedRevenue_TO!R$5:R$199))*1</f>
        <v>0</v>
      </c>
      <c r="S72" s="61">
        <f>ISERROR(SUM(AllowedRevenue_TO!S$5:S$199))*1</f>
        <v>0</v>
      </c>
      <c r="T72" s="61">
        <f>ISERROR(SUM(AllowedRevenue_TO!T$5:T$199))*1</f>
        <v>0</v>
      </c>
      <c r="U72" s="61">
        <f>ISERROR(SUM(AllowedRevenue_TO!U$5:U$199))*1</f>
        <v>0</v>
      </c>
      <c r="V72" s="61">
        <f>ISERROR(SUM(AllowedRevenue_TO!V$5:V$199))*1</f>
        <v>0</v>
      </c>
      <c r="W72" s="61">
        <f>ISERROR(SUM(AllowedRevenue_TO!W$5:W$199))*1</f>
        <v>0</v>
      </c>
      <c r="X72" s="61">
        <f>ISERROR(SUM(AllowedRevenue_TO!X$5:X$199))*1</f>
        <v>0</v>
      </c>
      <c r="Y72" s="61">
        <f>ISERROR(SUM(AllowedRevenue_TO!Y$5:Y$199))*1</f>
        <v>0</v>
      </c>
      <c r="Z72" s="61">
        <f>ISERROR(SUM(AllowedRevenue_TO!Z$5:Z$199))*1</f>
        <v>0</v>
      </c>
      <c r="AA72" s="61">
        <f>ISERROR(SUM(AllowedRevenue_TO!AA$5:AA$199))*1</f>
        <v>0</v>
      </c>
      <c r="AB72" s="61">
        <f>ISERROR(SUM(AllowedRevenue_TO!AB$5:AB$199))*1</f>
        <v>0</v>
      </c>
      <c r="AC72" s="61">
        <f>ISERROR(SUM(AllowedRevenue_TO!AC$5:AC$199))*1</f>
        <v>0</v>
      </c>
      <c r="AD72" s="61">
        <f>ISERROR(SUM(AllowedRevenue_TO!AD$5:AD$199))*1</f>
        <v>0</v>
      </c>
      <c r="AE72" s="61">
        <f>ISERROR(SUM(AllowedRevenue_TO!AE$5:AE$199))*1</f>
        <v>0</v>
      </c>
      <c r="AF72" s="61">
        <f>ISERROR(SUM(AllowedRevenue_TO!AF$5:AF$199))*1</f>
        <v>0</v>
      </c>
      <c r="AG72" s="61">
        <f>ISERROR(SUM(AllowedRevenue_TO!AG$5:AG$199))*1</f>
        <v>0</v>
      </c>
      <c r="AH72" s="61">
        <f>ISERROR(SUM(AllowedRevenue_TO!AH$5:AH$199))*1</f>
        <v>0</v>
      </c>
      <c r="AI72" s="61">
        <f>ISERROR(SUM(AllowedRevenue_TO!AI$5:AI$199))*1</f>
        <v>0</v>
      </c>
      <c r="AJ72" s="61">
        <f>ISERROR(SUM(AllowedRevenue_TO!AJ$5:AJ$199))*1</f>
        <v>0</v>
      </c>
      <c r="AK72" s="61">
        <f>ISERROR(SUM(AllowedRevenue_TO!AK$5:AK$199))*1</f>
        <v>0</v>
      </c>
      <c r="AL72" s="61">
        <f>ISERROR(SUM(AllowedRevenue_TO!AL$5:AL$199))*1</f>
        <v>0</v>
      </c>
      <c r="AM72" s="61">
        <f>ISERROR(SUM(AllowedRevenue_TO!AM$5:AM$199))*1</f>
        <v>0</v>
      </c>
      <c r="AN72" s="61">
        <f>ISERROR(SUM(AllowedRevenue_TO!AN$5:AN$199))*1</f>
        <v>0</v>
      </c>
      <c r="AO72" s="61">
        <f>ISERROR(SUM(AllowedRevenue_TO!AO$5:AO$199))*1</f>
        <v>0</v>
      </c>
      <c r="AP72" s="61">
        <f>ISERROR(SUM(AllowedRevenue_TO!AP$5:AP$199))*1</f>
        <v>0</v>
      </c>
      <c r="AQ72" s="61">
        <f>ISERROR(SUM(AllowedRevenue_TO!AQ$5:AQ$199))*1</f>
        <v>0</v>
      </c>
      <c r="AR72" s="61">
        <f>ISERROR(SUM(AllowedRevenue_TO!AR$5:AR$199))*1</f>
        <v>0</v>
      </c>
      <c r="AS72" s="61">
        <f>ISERROR(SUM(AllowedRevenue_TO!AS$5:AS$199))*1</f>
        <v>0</v>
      </c>
      <c r="AT72" s="89">
        <f>ISERROR(SUM(AllowedRevenue_TO!AT$5:AT$199))*1</f>
        <v>0</v>
      </c>
      <c r="AU72" s="96">
        <f ca="1">ISERROR(SUM(AllowedRevenue_TO!AU$5:AU$199))*1</f>
        <v>0</v>
      </c>
      <c r="AV72" s="61">
        <f ca="1">ISERROR(SUM(AllowedRevenue_TO!AV$5:AV$199))*1</f>
        <v>0</v>
      </c>
      <c r="AW72" s="61">
        <f ca="1">ISERROR(SUM(AllowedRevenue_TO!AW$5:AW$199))*1</f>
        <v>0</v>
      </c>
      <c r="AX72" s="61">
        <f ca="1">ISERROR(SUM(AllowedRevenue_TO!AX$5:AX$199))*1</f>
        <v>0</v>
      </c>
      <c r="AY72" s="61">
        <f ca="1">ISERROR(SUM(AllowedRevenue_TO!AY$5:AY$199))*1</f>
        <v>0</v>
      </c>
    </row>
    <row r="73" spans="1:51" customFormat="1" ht="14.5">
      <c r="E73" t="s">
        <v>518</v>
      </c>
      <c r="I73" s="61">
        <f>ISERROR(SUM(AllowedRevenue_SO!I$5:I$199))*1</f>
        <v>0</v>
      </c>
      <c r="K73" s="61">
        <f>ISERROR(SUM(AllowedRevenue_SO!K$5:K$199))*1</f>
        <v>0</v>
      </c>
      <c r="L73" s="61">
        <f>ISERROR(SUM(AllowedRevenue_SO!L$5:L$199))*1</f>
        <v>0</v>
      </c>
      <c r="M73" s="61">
        <f>ISERROR(SUM(AllowedRevenue_SO!M$5:M$199))*1</f>
        <v>0</v>
      </c>
      <c r="N73" s="61">
        <f>ISERROR(SUM(AllowedRevenue_SO!N$5:N$199))*1</f>
        <v>0</v>
      </c>
      <c r="O73" s="61">
        <f>ISERROR(SUM(AllowedRevenue_SO!O$5:O$199))*1</f>
        <v>0</v>
      </c>
      <c r="P73" s="61">
        <f>ISERROR(SUM(AllowedRevenue_SO!P$5:P$199))*1</f>
        <v>0</v>
      </c>
      <c r="Q73" s="61">
        <f>ISERROR(SUM(AllowedRevenue_SO!Q$5:Q$199))*1</f>
        <v>0</v>
      </c>
      <c r="R73" s="61">
        <f>ISERROR(SUM(AllowedRevenue_SO!R$5:R$199))*1</f>
        <v>0</v>
      </c>
      <c r="S73" s="61">
        <f>ISERROR(SUM(AllowedRevenue_SO!S$5:S$199))*1</f>
        <v>0</v>
      </c>
      <c r="T73" s="61">
        <f>ISERROR(SUM(AllowedRevenue_SO!T$5:T$199))*1</f>
        <v>0</v>
      </c>
      <c r="U73" s="61">
        <f>ISERROR(SUM(AllowedRevenue_SO!U$5:U$199))*1</f>
        <v>0</v>
      </c>
      <c r="V73" s="61">
        <f>ISERROR(SUM(AllowedRevenue_SO!V$5:V$199))*1</f>
        <v>0</v>
      </c>
      <c r="W73" s="61">
        <f>ISERROR(SUM(AllowedRevenue_SO!W$5:W$199))*1</f>
        <v>0</v>
      </c>
      <c r="X73" s="61">
        <f>ISERROR(SUM(AllowedRevenue_SO!X$5:X$199))*1</f>
        <v>0</v>
      </c>
      <c r="Y73" s="61">
        <f>ISERROR(SUM(AllowedRevenue_SO!Y$5:Y$199))*1</f>
        <v>0</v>
      </c>
      <c r="Z73" s="61">
        <f>ISERROR(SUM(AllowedRevenue_SO!Z$5:Z$199))*1</f>
        <v>0</v>
      </c>
      <c r="AA73" s="61">
        <f>ISERROR(SUM(AllowedRevenue_SO!AA$5:AA$199))*1</f>
        <v>0</v>
      </c>
      <c r="AB73" s="61">
        <f>ISERROR(SUM(AllowedRevenue_SO!AB$5:AB$199))*1</f>
        <v>0</v>
      </c>
      <c r="AC73" s="61">
        <f>ISERROR(SUM(AllowedRevenue_SO!AC$5:AC$199))*1</f>
        <v>0</v>
      </c>
      <c r="AD73" s="61">
        <f>ISERROR(SUM(AllowedRevenue_SO!AD$5:AD$199))*1</f>
        <v>0</v>
      </c>
      <c r="AE73" s="61">
        <f>ISERROR(SUM(AllowedRevenue_SO!AE$5:AE$199))*1</f>
        <v>0</v>
      </c>
      <c r="AF73" s="61">
        <f>ISERROR(SUM(AllowedRevenue_SO!AF$5:AF$199))*1</f>
        <v>0</v>
      </c>
      <c r="AG73" s="61">
        <f>ISERROR(SUM(AllowedRevenue_SO!AG$5:AG$199))*1</f>
        <v>0</v>
      </c>
      <c r="AH73" s="61">
        <f>ISERROR(SUM(AllowedRevenue_SO!AH$5:AH$199))*1</f>
        <v>0</v>
      </c>
      <c r="AI73" s="61">
        <f>ISERROR(SUM(AllowedRevenue_SO!AI$5:AI$199))*1</f>
        <v>0</v>
      </c>
      <c r="AJ73" s="61">
        <f>ISERROR(SUM(AllowedRevenue_SO!AJ$5:AJ$199))*1</f>
        <v>0</v>
      </c>
      <c r="AK73" s="61">
        <f>ISERROR(SUM(AllowedRevenue_SO!AK$5:AK$199))*1</f>
        <v>0</v>
      </c>
      <c r="AL73" s="61">
        <f>ISERROR(SUM(AllowedRevenue_SO!AL$5:AL$199))*1</f>
        <v>0</v>
      </c>
      <c r="AM73" s="61">
        <f>ISERROR(SUM(AllowedRevenue_SO!AM$5:AM$199))*1</f>
        <v>0</v>
      </c>
      <c r="AN73" s="61">
        <f>ISERROR(SUM(AllowedRevenue_SO!AN$5:AN$199))*1</f>
        <v>0</v>
      </c>
      <c r="AO73" s="61">
        <f>ISERROR(SUM(AllowedRevenue_SO!AO$5:AO$199))*1</f>
        <v>0</v>
      </c>
      <c r="AP73" s="61">
        <f>ISERROR(SUM(AllowedRevenue_SO!AP$5:AP$199))*1</f>
        <v>0</v>
      </c>
      <c r="AQ73" s="61">
        <f>ISERROR(SUM(AllowedRevenue_SO!AQ$5:AQ$199))*1</f>
        <v>0</v>
      </c>
      <c r="AR73" s="61">
        <f>ISERROR(SUM(AllowedRevenue_SO!AR$5:AR$199))*1</f>
        <v>0</v>
      </c>
      <c r="AS73" s="61">
        <f>ISERROR(SUM(AllowedRevenue_SO!AS$5:AS$199))*1</f>
        <v>0</v>
      </c>
      <c r="AT73" s="89">
        <f>ISERROR(SUM(AllowedRevenue_SO!AT$5:AT$199))*1</f>
        <v>0</v>
      </c>
      <c r="AU73" s="96">
        <f ca="1">ISERROR(SUM(AllowedRevenue_SO!AU$5:AU$199))*1</f>
        <v>0</v>
      </c>
      <c r="AV73" s="61">
        <f ca="1">ISERROR(SUM(AllowedRevenue_SO!AV$5:AV$199))*1</f>
        <v>0</v>
      </c>
      <c r="AW73" s="61">
        <f ca="1">ISERROR(SUM(AllowedRevenue_SO!AW$5:AW$199))*1</f>
        <v>0</v>
      </c>
      <c r="AX73" s="61">
        <f ca="1">ISERROR(SUM(AllowedRevenue_SO!AX$5:AX$199))*1</f>
        <v>0</v>
      </c>
      <c r="AY73" s="61">
        <f ca="1">ISERROR(SUM(AllowedRevenue_SO!AY$5:AY$199))*1</f>
        <v>0</v>
      </c>
    </row>
    <row r="74" spans="1:51" customFormat="1" ht="14.5">
      <c r="AT74" s="77"/>
    </row>
    <row r="75" spans="1:51" customFormat="1" ht="20" thickBot="1">
      <c r="A75" s="15" t="s">
        <v>596</v>
      </c>
      <c r="AT75" s="77"/>
    </row>
    <row r="76" spans="1:51" customFormat="1" ht="18" thickTop="1" thickBot="1">
      <c r="B76" s="17" t="s">
        <v>605</v>
      </c>
      <c r="AT76" s="77"/>
    </row>
    <row r="77" spans="1:51" customFormat="1" ht="15" thickTop="1">
      <c r="E77" t="s">
        <v>597</v>
      </c>
      <c r="AT77" s="77"/>
      <c r="AU77" s="97">
        <f>Totex!AU96</f>
        <v>863.6341684972366</v>
      </c>
      <c r="AV77" s="38">
        <f>Totex!AV96</f>
        <v>1068.6032595256861</v>
      </c>
      <c r="AW77" s="38">
        <f>Totex!AW96</f>
        <v>1110.0029906540856</v>
      </c>
      <c r="AX77" s="38">
        <f>Totex!AX96</f>
        <v>813.40227445624998</v>
      </c>
      <c r="AY77" s="38">
        <f>Totex!AY96</f>
        <v>755.65763630077834</v>
      </c>
    </row>
    <row r="78" spans="1:51" customFormat="1" ht="14.5">
      <c r="E78" t="s">
        <v>598</v>
      </c>
      <c r="AT78" s="77"/>
      <c r="AU78" s="97">
        <f>SUM(Transform_TO!AU12:AU17)</f>
        <v>530.61931925373995</v>
      </c>
      <c r="AV78" s="38">
        <f>SUM(Transform_TO!AV12:AV17)</f>
        <v>534.34636077710843</v>
      </c>
      <c r="AW78" s="38">
        <f>SUM(Transform_TO!AW12:AW17)</f>
        <v>557.75005927295058</v>
      </c>
      <c r="AX78" s="38">
        <f>SUM(Transform_TO!AX12:AX17)</f>
        <v>514.95246024807045</v>
      </c>
      <c r="AY78" s="38">
        <f>SUM(Transform_TO!AY12:AY17)</f>
        <v>555.21904082014112</v>
      </c>
    </row>
    <row r="79" spans="1:51" customFormat="1" ht="14.5">
      <c r="E79" t="s">
        <v>599</v>
      </c>
      <c r="AT79" s="77"/>
      <c r="AU79" s="97">
        <f>SUM(Transform_TO!AU20:AU25)</f>
        <v>333.01484924349654</v>
      </c>
      <c r="AV79" s="38">
        <f>SUM(Transform_TO!AV20:AV25)</f>
        <v>534.25689874857744</v>
      </c>
      <c r="AW79" s="38">
        <f>SUM(Transform_TO!AW20:AW25)</f>
        <v>552.25293138113489</v>
      </c>
      <c r="AX79" s="38">
        <f>SUM(Transform_TO!AX20:AX25)</f>
        <v>298.44981420817948</v>
      </c>
      <c r="AY79" s="38">
        <f>SUM(Transform_TO!AY20:AY25)</f>
        <v>200.43859548063719</v>
      </c>
    </row>
    <row r="80" spans="1:51" customFormat="1" ht="14.5">
      <c r="E80" t="s">
        <v>302</v>
      </c>
      <c r="AT80" s="77"/>
      <c r="AU80" s="97" t="b">
        <f>Transform_TO!AU7</f>
        <v>1</v>
      </c>
      <c r="AV80" s="38" t="b">
        <f>Transform_TO!AV7</f>
        <v>1</v>
      </c>
      <c r="AW80" s="38" t="b">
        <f>Transform_TO!AW7</f>
        <v>1</v>
      </c>
      <c r="AX80" s="38" t="b">
        <f>Transform_TO!AX7</f>
        <v>1</v>
      </c>
      <c r="AY80" s="38" t="b">
        <f>Transform_TO!AY7</f>
        <v>1</v>
      </c>
    </row>
    <row r="81" spans="2:51" customFormat="1" ht="14.5">
      <c r="E81" t="s">
        <v>600</v>
      </c>
      <c r="AT81" s="77"/>
      <c r="AU81" s="97">
        <f>Totex!AU70</f>
        <v>848.57451964048084</v>
      </c>
      <c r="AV81" s="38">
        <f>Totex!AV70</f>
        <v>1061.7747463268618</v>
      </c>
      <c r="AW81" s="38">
        <f>Totex!AW70</f>
        <v>1105.3451016253157</v>
      </c>
      <c r="AX81" s="38">
        <f>Totex!AX70</f>
        <v>814.07943597312965</v>
      </c>
      <c r="AY81" s="38">
        <f>Totex!AY70</f>
        <v>755.65957338353962</v>
      </c>
    </row>
    <row r="82" spans="2:51" customFormat="1" ht="14.5">
      <c r="E82" t="s">
        <v>601</v>
      </c>
      <c r="AT82" s="77"/>
      <c r="AU82" s="97">
        <f>SUM(Transform_TO!AU32:AU37)</f>
        <v>305.38262180495298</v>
      </c>
      <c r="AV82" s="38">
        <f>SUM(Transform_TO!AV32:AV37)</f>
        <v>285.92768143920125</v>
      </c>
      <c r="AW82" s="38">
        <f>SUM(Transform_TO!AW32:AW37)</f>
        <v>265.94455805890226</v>
      </c>
      <c r="AX82" s="38">
        <f>SUM(Transform_TO!AX32:AX37)</f>
        <v>242.58174730511283</v>
      </c>
      <c r="AY82" s="38">
        <f>SUM(Transform_TO!AY32:AY37)</f>
        <v>251.0815282644474</v>
      </c>
    </row>
    <row r="83" spans="2:51" customFormat="1" ht="14.5">
      <c r="E83" t="s">
        <v>602</v>
      </c>
      <c r="AT83" s="77"/>
      <c r="AU83" s="97">
        <f>SUM(VariantAllowances!AU645:AU650,VariantAllowances!AU653:AU658)</f>
        <v>543.19189783552793</v>
      </c>
      <c r="AV83" s="38">
        <f>SUM(VariantAllowances!AV645:AV650,VariantAllowances!AV653:AV658)</f>
        <v>775.84706488766039</v>
      </c>
      <c r="AW83" s="38">
        <f>SUM(VariantAllowances!AW645:AW650,VariantAllowances!AW653:AW658)</f>
        <v>839.40054356641349</v>
      </c>
      <c r="AX83" s="38">
        <f>SUM(VariantAllowances!AX645:AX650,VariantAllowances!AX653:AX658)</f>
        <v>571.49768866801674</v>
      </c>
      <c r="AY83" s="38">
        <f>SUM(VariantAllowances!AY645:AY650,VariantAllowances!AY653:AY658)</f>
        <v>504.57804511909222</v>
      </c>
    </row>
    <row r="84" spans="2:51" customFormat="1" ht="14.5">
      <c r="AT84" s="77"/>
    </row>
    <row r="85" spans="2:51" customFormat="1" ht="14.5">
      <c r="E85" t="s">
        <v>590</v>
      </c>
      <c r="AT85" s="77"/>
      <c r="AU85" s="96">
        <f>(AU77-SUM(AU78,AU79))*AU80</f>
        <v>1.1368683772161603E-13</v>
      </c>
      <c r="AV85" s="61">
        <f t="shared" ref="AV85:AY85" si="0">(AV77-SUM(AV78,AV79))*AV80</f>
        <v>2.2737367544323206E-13</v>
      </c>
      <c r="AW85" s="61">
        <f t="shared" si="0"/>
        <v>2.2737367544323206E-13</v>
      </c>
      <c r="AX85" s="61">
        <f t="shared" si="0"/>
        <v>1.1368683772161603E-13</v>
      </c>
      <c r="AY85" s="61">
        <f t="shared" si="0"/>
        <v>0</v>
      </c>
    </row>
    <row r="86" spans="2:51" customFormat="1" ht="14.5">
      <c r="E86" t="s">
        <v>591</v>
      </c>
      <c r="AT86" s="77"/>
      <c r="AU86" s="96">
        <f>AU81-SUM(AU82:AU83)</f>
        <v>0</v>
      </c>
      <c r="AV86" s="61">
        <f t="shared" ref="AV86:AY86" si="1">AV81-SUM(AV82:AV83)</f>
        <v>0</v>
      </c>
      <c r="AW86" s="61">
        <f t="shared" si="1"/>
        <v>0</v>
      </c>
      <c r="AX86" s="61">
        <f t="shared" si="1"/>
        <v>0</v>
      </c>
      <c r="AY86" s="61">
        <f t="shared" si="1"/>
        <v>0</v>
      </c>
    </row>
    <row r="87" spans="2:51" customFormat="1" ht="14.5">
      <c r="AT87" s="77"/>
    </row>
    <row r="88" spans="2:51" customFormat="1" ht="17.5" thickBot="1">
      <c r="B88" s="17" t="s">
        <v>606</v>
      </c>
      <c r="AT88" s="77"/>
    </row>
    <row r="89" spans="2:51" customFormat="1" ht="15" thickTop="1">
      <c r="E89" t="s">
        <v>597</v>
      </c>
      <c r="AT89" s="77"/>
      <c r="AU89" s="97">
        <f>Calculations_SO!AU27</f>
        <v>130.51266746071127</v>
      </c>
      <c r="AV89" s="38">
        <f>Calculations_SO!AV27</f>
        <v>139.91165659720485</v>
      </c>
      <c r="AW89" s="38">
        <f>Calculations_SO!AW27</f>
        <v>134.09909509594934</v>
      </c>
      <c r="AX89" s="38">
        <f>Calculations_SO!AX27</f>
        <v>120.35399974977341</v>
      </c>
      <c r="AY89" s="38">
        <f>Calculations_SO!AY27</f>
        <v>108.09452089088215</v>
      </c>
    </row>
    <row r="90" spans="2:51" customFormat="1" ht="14.5">
      <c r="E90" t="s">
        <v>598</v>
      </c>
      <c r="AT90" s="77"/>
      <c r="AU90" s="97">
        <f>SUM(Transform_SO!AU11:AU12)</f>
        <v>0</v>
      </c>
      <c r="AV90" s="38">
        <f>SUM(Transform_SO!AV11:AV12)</f>
        <v>0</v>
      </c>
      <c r="AW90" s="38">
        <f>SUM(Transform_SO!AW11:AW12)</f>
        <v>0</v>
      </c>
      <c r="AX90" s="38">
        <f>SUM(Transform_SO!AX11:AX12)</f>
        <v>0</v>
      </c>
      <c r="AY90" s="38">
        <f>SUM(Transform_SO!AY11:AY12)</f>
        <v>0</v>
      </c>
    </row>
    <row r="91" spans="2:51" customFormat="1" ht="14.5">
      <c r="E91" t="s">
        <v>302</v>
      </c>
      <c r="AT91" s="77"/>
      <c r="AU91" s="97" t="b">
        <f>Transform_SO!AU7</f>
        <v>0</v>
      </c>
      <c r="AV91" s="38" t="b">
        <f>Transform_SO!AV7</f>
        <v>0</v>
      </c>
      <c r="AW91" s="38" t="b">
        <f>Transform_SO!AW7</f>
        <v>0</v>
      </c>
      <c r="AX91" s="38" t="b">
        <f>Transform_SO!AX7</f>
        <v>0</v>
      </c>
      <c r="AY91" s="38" t="b">
        <f>Transform_SO!AY7</f>
        <v>0</v>
      </c>
    </row>
    <row r="92" spans="2:51" customFormat="1" ht="14.5">
      <c r="E92" t="s">
        <v>600</v>
      </c>
      <c r="AT92" s="77"/>
      <c r="AU92" s="97">
        <f>Calculations_SO!AU22</f>
        <v>130.51266746071127</v>
      </c>
      <c r="AV92" s="38">
        <f>Calculations_SO!AV22</f>
        <v>139.91165659720485</v>
      </c>
      <c r="AW92" s="38">
        <f>Calculations_SO!AW22</f>
        <v>134.09909509594934</v>
      </c>
      <c r="AX92" s="38">
        <f>Calculations_SO!AX22</f>
        <v>120.35399974977341</v>
      </c>
      <c r="AY92" s="38">
        <f>Calculations_SO!AY22</f>
        <v>108.09452089088215</v>
      </c>
    </row>
    <row r="93" spans="2:51" customFormat="1" ht="14.5">
      <c r="E93" t="s">
        <v>601</v>
      </c>
      <c r="AT93" s="77"/>
      <c r="AU93" s="97">
        <f>SUM(Transform_SO!AU16:AU17)</f>
        <v>111.89852813619061</v>
      </c>
      <c r="AV93" s="38">
        <f>SUM(Transform_SO!AV16:AV17)</f>
        <v>115.60842487015884</v>
      </c>
      <c r="AW93" s="38">
        <f>SUM(Transform_SO!AW16:AW17)</f>
        <v>102.38621116339243</v>
      </c>
      <c r="AX93" s="38">
        <f>SUM(Transform_SO!AX16:AX17)</f>
        <v>103.19831335615308</v>
      </c>
      <c r="AY93" s="38">
        <f>SUM(Transform_SO!AY16:AY17)</f>
        <v>98.018593744903484</v>
      </c>
    </row>
    <row r="94" spans="2:51" customFormat="1" ht="14.5">
      <c r="E94" t="s">
        <v>602</v>
      </c>
      <c r="AT94" s="77"/>
      <c r="AU94" s="97">
        <f>SUM(VariantAllowances!AU780:AU781)</f>
        <v>18.614139324520664</v>
      </c>
      <c r="AV94" s="38">
        <f>SUM(VariantAllowances!AV780:AV781)</f>
        <v>24.303231727046001</v>
      </c>
      <c r="AW94" s="38">
        <f>SUM(VariantAllowances!AW780:AW781)</f>
        <v>31.71288393255692</v>
      </c>
      <c r="AX94" s="38">
        <f>SUM(VariantAllowances!AX780:AX781)</f>
        <v>17.155686393620329</v>
      </c>
      <c r="AY94" s="38">
        <f>SUM(VariantAllowances!AY780:AY781)</f>
        <v>10.075927145978666</v>
      </c>
    </row>
    <row r="95" spans="2:51" customFormat="1" ht="14.5">
      <c r="AT95" s="77"/>
    </row>
    <row r="96" spans="2:51" customFormat="1" ht="14.5">
      <c r="E96" t="s">
        <v>590</v>
      </c>
      <c r="AT96" s="77"/>
      <c r="AU96" s="96">
        <f>(AU89-AU90)*AU91</f>
        <v>0</v>
      </c>
      <c r="AV96" s="61">
        <f t="shared" ref="AV96:AY96" si="2">(AV89-AV90)*AV91</f>
        <v>0</v>
      </c>
      <c r="AW96" s="61">
        <f t="shared" si="2"/>
        <v>0</v>
      </c>
      <c r="AX96" s="61">
        <f t="shared" si="2"/>
        <v>0</v>
      </c>
      <c r="AY96" s="61">
        <f t="shared" si="2"/>
        <v>0</v>
      </c>
    </row>
    <row r="97" spans="1:55" customFormat="1" ht="14.5">
      <c r="E97" t="s">
        <v>591</v>
      </c>
      <c r="AT97" s="77"/>
      <c r="AU97" s="96">
        <f>AU92-SUM(AU93:AU94)</f>
        <v>0</v>
      </c>
      <c r="AV97" s="61">
        <f t="shared" ref="AV97:AY97" si="3">AV92-SUM(AV93:AV94)</f>
        <v>0</v>
      </c>
      <c r="AW97" s="61">
        <f t="shared" si="3"/>
        <v>0</v>
      </c>
      <c r="AX97" s="61">
        <f t="shared" si="3"/>
        <v>0</v>
      </c>
      <c r="AY97" s="61">
        <f t="shared" si="3"/>
        <v>0</v>
      </c>
    </row>
    <row r="98" spans="1:55" customFormat="1" ht="14.5">
      <c r="AT98" s="77"/>
    </row>
    <row r="99" spans="1:55" customFormat="1" ht="17.5" thickBot="1">
      <c r="A99" s="8"/>
      <c r="B99" s="17" t="s">
        <v>169</v>
      </c>
      <c r="AT99" s="77"/>
    </row>
    <row r="100" spans="1:55" customFormat="1" ht="15" thickTop="1">
      <c r="E100" t="s">
        <v>607</v>
      </c>
      <c r="AT100" s="77"/>
      <c r="AU100" s="243">
        <f>SUM(Transform_TO!AU143:AU148)</f>
        <v>1.0000073662836944</v>
      </c>
      <c r="AV100" s="244">
        <f>SUM(Transform_TO!AV143:AV148)</f>
        <v>1.0000078052277841</v>
      </c>
      <c r="AW100" s="244">
        <f>SUM(Transform_TO!AW143:AW148)</f>
        <v>1.0000078635405465</v>
      </c>
      <c r="AX100" s="244">
        <f>SUM(Transform_TO!AX143:AX148)</f>
        <v>1.0000072411462257</v>
      </c>
      <c r="AY100" s="244">
        <f>SUM(Transform_TO!AY143:AY148)</f>
        <v>1.0000070967540511</v>
      </c>
    </row>
    <row r="101" spans="1:55" customFormat="1" ht="14.5">
      <c r="E101" t="s">
        <v>608</v>
      </c>
      <c r="AT101" s="77"/>
      <c r="AU101" s="243">
        <f>SUM(Transform_SO!AU85:AU90)</f>
        <v>0.99999999999999989</v>
      </c>
      <c r="AV101" s="244">
        <f>SUM(Transform_SO!AV85:AV90)</f>
        <v>0.99999999999999989</v>
      </c>
      <c r="AW101" s="244">
        <f>SUM(Transform_SO!AW85:AW90)</f>
        <v>1</v>
      </c>
      <c r="AX101" s="244">
        <f>SUM(Transform_SO!AX85:AX90)</f>
        <v>1</v>
      </c>
      <c r="AY101" s="244">
        <f>SUM(Transform_SO!AY85:AY90)</f>
        <v>1</v>
      </c>
    </row>
    <row r="102" spans="1:55" customFormat="1" ht="14.5">
      <c r="AT102" s="77"/>
    </row>
    <row r="103" spans="1:55" customFormat="1" ht="17.5" thickBot="1">
      <c r="B103" s="17" t="s">
        <v>617</v>
      </c>
      <c r="AT103" s="77"/>
      <c r="BA103" t="s">
        <v>511</v>
      </c>
      <c r="BB103" t="s">
        <v>512</v>
      </c>
      <c r="BC103" t="s">
        <v>603</v>
      </c>
    </row>
    <row r="104" spans="1:55" customFormat="1" ht="17" thickTop="1">
      <c r="E104" t="str">
        <f>NGT_TO!E81</f>
        <v>Baseline Network Risk Output</v>
      </c>
      <c r="F104" s="43" t="s">
        <v>41</v>
      </c>
      <c r="G104" s="43" t="s">
        <v>33</v>
      </c>
      <c r="H104" s="43" t="s">
        <v>889</v>
      </c>
      <c r="I104" s="43"/>
      <c r="AT104" s="77"/>
      <c r="AU104" s="105">
        <f>IF(SUMIFS(NGT_TO!AU$173:AU$432,NGT_TO!$E$173:$E$432,$E104)=1,1,FALSE)</f>
        <v>1</v>
      </c>
      <c r="AV104" s="60">
        <f>IF(SUMIFS(NGT_TO!AV$173:AV$432,NGT_TO!$E$173:$E$432,$E104)=1,1,FALSE)</f>
        <v>1</v>
      </c>
      <c r="AW104" s="60">
        <f>SUMIFS(NGT_TO!AW$173:AW$432,NGT_TO!$E$173:$E$432,$E104)</f>
        <v>1</v>
      </c>
      <c r="AX104" s="60">
        <f>SUMIFS(NGT_TO!AX$173:AX$432,NGT_TO!$E$173:$E$432,$E104)</f>
        <v>1</v>
      </c>
      <c r="AY104" s="60">
        <f>SUMIFS(NGT_TO!AY$173:AY$432,NGT_TO!$E$173:$E$432,$E104)</f>
        <v>1</v>
      </c>
      <c r="BA104" s="38" t="b">
        <f>INDEX(NGT_TO!AV$128:AV$172,MATCH($E104,NGT_TO!$E$128:$E$172,0))</f>
        <v>1</v>
      </c>
      <c r="BB104" s="59">
        <f>INDEX(NGT_TO!AW$128:AW$172,MATCH($E104,NGT_TO!$E$128:$E$172,0))</f>
        <v>1</v>
      </c>
      <c r="BC104" s="61" t="b">
        <f t="shared" ref="BC104:BC146" si="4">AND(SUM(AU104:AY104)&lt;&gt;0,OR(BA104="",BB104=""))</f>
        <v>0</v>
      </c>
    </row>
    <row r="105" spans="1:55" customFormat="1" ht="16.5">
      <c r="E105" t="str">
        <f>NGT_TO!E82</f>
        <v>NARM Asset Health Re-opener</v>
      </c>
      <c r="F105" s="43" t="s">
        <v>41</v>
      </c>
      <c r="G105" s="43" t="s">
        <v>33</v>
      </c>
      <c r="H105" s="43" t="s">
        <v>890</v>
      </c>
      <c r="AT105" s="77"/>
      <c r="AU105" s="105">
        <f>SUMIFS(NGT_TO!AU$173:AU$432,NGT_TO!$E$173:$E$432,$E105)</f>
        <v>0</v>
      </c>
      <c r="AV105" s="60">
        <f>SUMIFS(NGT_TO!AV$173:AV$432,NGT_TO!$E$173:$E$432,$E105)</f>
        <v>0</v>
      </c>
      <c r="AW105" s="60">
        <f>SUMIFS(NGT_TO!AW$173:AW$432,NGT_TO!$E$173:$E$432,$E105)</f>
        <v>0</v>
      </c>
      <c r="AX105" s="60">
        <f>SUMIFS(NGT_TO!AX$173:AX$432,NGT_TO!$E$173:$E$432,$E105)</f>
        <v>0</v>
      </c>
      <c r="AY105" s="60">
        <f>SUMIFS(NGT_TO!AY$173:AY$432,NGT_TO!$E$173:$E$432,$E105)</f>
        <v>0</v>
      </c>
      <c r="BA105" s="38" t="b">
        <f>INDEX(NGT_TO!AV$128:AV$172,MATCH($E105,NGT_TO!$E$128:$E$172,0))</f>
        <v>0</v>
      </c>
      <c r="BB105" s="59">
        <f>INDEX(NGT_TO!AW$128:AW$172,MATCH($E105,NGT_TO!$E$128:$E$172,0))</f>
        <v>2</v>
      </c>
      <c r="BC105" s="61" t="b">
        <f t="shared" si="4"/>
        <v>0</v>
      </c>
    </row>
    <row r="106" spans="1:55" customFormat="1" ht="16.5">
      <c r="E106" t="str">
        <f>NGT_TO!E83</f>
        <v>Cyber resilience term Price Control Deliverable</v>
      </c>
      <c r="F106" s="43" t="s">
        <v>46</v>
      </c>
      <c r="G106" s="43" t="s">
        <v>33</v>
      </c>
      <c r="H106" s="43" t="s">
        <v>891</v>
      </c>
      <c r="AT106" s="77"/>
      <c r="AU106" s="105">
        <f>SUMIFS(NGT_TO!AU$173:AU$432,NGT_TO!$E$173:$E$432,$E106)</f>
        <v>1</v>
      </c>
      <c r="AV106" s="60">
        <f>SUMIFS(NGT_TO!AV$173:AV$432,NGT_TO!$E$173:$E$432,$E106)</f>
        <v>1</v>
      </c>
      <c r="AW106" s="60">
        <f>SUMIFS(NGT_TO!AW$173:AW$432,NGT_TO!$E$173:$E$432,$E106)</f>
        <v>1</v>
      </c>
      <c r="AX106" s="60">
        <f>SUMIFS(NGT_TO!AX$173:AX$432,NGT_TO!$E$173:$E$432,$E106)</f>
        <v>1</v>
      </c>
      <c r="AY106" s="60">
        <f>SUMIFS(NGT_TO!AY$173:AY$432,NGT_TO!$E$173:$E$432,$E106)</f>
        <v>1</v>
      </c>
      <c r="BA106" s="38" t="b">
        <f>INDEX(NGT_TO!AV$128:AV$172,MATCH($E106,NGT_TO!$E$128:$E$172,0))</f>
        <v>1</v>
      </c>
      <c r="BB106" s="59">
        <f>INDEX(NGT_TO!AW$128:AW$172,MATCH($E106,NGT_TO!$E$128:$E$172,0))</f>
        <v>1</v>
      </c>
      <c r="BC106" s="61" t="b">
        <f t="shared" si="4"/>
        <v>0</v>
      </c>
    </row>
    <row r="107" spans="1:55" customFormat="1" ht="16.5">
      <c r="E107" t="str">
        <f>NGT_TO!E84</f>
        <v>Cyber resilience Re-Opener</v>
      </c>
      <c r="F107" s="43" t="s">
        <v>46</v>
      </c>
      <c r="G107" s="43" t="s">
        <v>33</v>
      </c>
      <c r="H107" s="43" t="s">
        <v>892</v>
      </c>
      <c r="AT107" s="77"/>
      <c r="AU107" s="105">
        <f>SUMIFS(NGT_TO!AU$173:AU$432,NGT_TO!$E$173:$E$432,$E107)</f>
        <v>0</v>
      </c>
      <c r="AV107" s="60">
        <f>SUMIFS(NGT_TO!AV$173:AV$432,NGT_TO!$E$173:$E$432,$E107)</f>
        <v>0</v>
      </c>
      <c r="AW107" s="60">
        <f>SUMIFS(NGT_TO!AW$173:AW$432,NGT_TO!$E$173:$E$432,$E107)</f>
        <v>0</v>
      </c>
      <c r="AX107" s="60">
        <f>SUMIFS(NGT_TO!AX$173:AX$432,NGT_TO!$E$173:$E$432,$E107)</f>
        <v>0</v>
      </c>
      <c r="AY107" s="60">
        <f>SUMIFS(NGT_TO!AY$173:AY$432,NGT_TO!$E$173:$E$432,$E107)</f>
        <v>0</v>
      </c>
      <c r="BA107" s="38" t="b">
        <f>INDEX(NGT_TO!AV$128:AV$172,MATCH($E107,NGT_TO!$E$128:$E$172,0))</f>
        <v>0</v>
      </c>
      <c r="BB107" s="59">
        <f>INDEX(NGT_TO!AW$128:AW$172,MATCH($E107,NGT_TO!$E$128:$E$172,0))</f>
        <v>2</v>
      </c>
      <c r="BC107" s="61" t="b">
        <f t="shared" si="4"/>
        <v>0</v>
      </c>
    </row>
    <row r="108" spans="1:55" customFormat="1" ht="16.5">
      <c r="E108" t="str">
        <f>NGT_TO!E85</f>
        <v>Cyber resilience Use it or lose it allowance</v>
      </c>
      <c r="F108" s="43" t="s">
        <v>46</v>
      </c>
      <c r="G108" s="43" t="s">
        <v>33</v>
      </c>
      <c r="H108" s="43" t="s">
        <v>893</v>
      </c>
      <c r="AT108" s="77"/>
      <c r="AU108" s="105">
        <f>SUMIFS(NGT_TO!AU$173:AU$432,NGT_TO!$E$173:$E$432,$E108)</f>
        <v>1</v>
      </c>
      <c r="AV108" s="60">
        <f>SUMIFS(NGT_TO!AV$173:AV$432,NGT_TO!$E$173:$E$432,$E108)</f>
        <v>1</v>
      </c>
      <c r="AW108" s="60">
        <f>SUMIFS(NGT_TO!AW$173:AW$432,NGT_TO!$E$173:$E$432,$E108)</f>
        <v>1</v>
      </c>
      <c r="AX108" s="60">
        <f>SUMIFS(NGT_TO!AX$173:AX$432,NGT_TO!$E$173:$E$432,$E108)</f>
        <v>1</v>
      </c>
      <c r="AY108" s="60">
        <f>SUMIFS(NGT_TO!AY$173:AY$432,NGT_TO!$E$173:$E$432,$E108)</f>
        <v>1</v>
      </c>
      <c r="BA108" s="38" t="b">
        <f>INDEX(NGT_TO!AV$128:AV$172,MATCH($E108,NGT_TO!$E$128:$E$172,0))</f>
        <v>0</v>
      </c>
      <c r="BB108" s="59">
        <f>INDEX(NGT_TO!AW$128:AW$172,MATCH($E108,NGT_TO!$E$128:$E$172,0))</f>
        <v>1</v>
      </c>
      <c r="BC108" s="61" t="b">
        <f t="shared" si="4"/>
        <v>0</v>
      </c>
    </row>
    <row r="109" spans="1:55" customFormat="1" ht="16.5">
      <c r="E109" t="str">
        <f>NGT_TO!E86</f>
        <v>Resilience Activity Re-opener</v>
      </c>
      <c r="F109" s="43" t="s">
        <v>47</v>
      </c>
      <c r="G109" s="43" t="s">
        <v>33</v>
      </c>
      <c r="H109" s="43" t="s">
        <v>1131</v>
      </c>
      <c r="AT109" s="77"/>
      <c r="AU109" s="105">
        <f>SUMIFS(NGT_TO!AU$173:AU$432,NGT_TO!$E$173:$E$432,$E109)</f>
        <v>1</v>
      </c>
      <c r="AV109" s="60">
        <f>SUMIFS(NGT_TO!AV$173:AV$432,NGT_TO!$E$173:$E$432,$E109)</f>
        <v>1</v>
      </c>
      <c r="AW109" s="60">
        <f>SUMIFS(NGT_TO!AW$173:AW$432,NGT_TO!$E$173:$E$432,$E109)</f>
        <v>1</v>
      </c>
      <c r="AX109" s="60">
        <f>SUMIFS(NGT_TO!AX$173:AX$432,NGT_TO!$E$173:$E$432,$E109)</f>
        <v>1</v>
      </c>
      <c r="AY109" s="60">
        <f>SUMIFS(NGT_TO!AY$173:AY$432,NGT_TO!$E$173:$E$432,$E109)</f>
        <v>1</v>
      </c>
      <c r="BA109" s="38" t="b">
        <f>INDEX(NGT_TO!AV$128:AV$172,MATCH($E109,NGT_TO!$E$128:$E$172,0))</f>
        <v>0</v>
      </c>
      <c r="BB109" s="59">
        <f>INDEX(NGT_TO!AW$128:AW$172,MATCH($E109,NGT_TO!$E$128:$E$172,0))</f>
        <v>2</v>
      </c>
      <c r="BC109" s="61" t="b">
        <f t="shared" si="4"/>
        <v>0</v>
      </c>
    </row>
    <row r="110" spans="1:55" customFormat="1" ht="16.5">
      <c r="E110" t="str">
        <f>NGT_TO!E87</f>
        <v>Physical Security Price Control Deliverable</v>
      </c>
      <c r="F110" s="43" t="s">
        <v>47</v>
      </c>
      <c r="G110" s="43" t="s">
        <v>33</v>
      </c>
      <c r="H110" s="43" t="s">
        <v>894</v>
      </c>
      <c r="AT110" s="77"/>
      <c r="AU110" s="105">
        <f>SUMIFS(NGT_TO!AU$173:AU$432,NGT_TO!$E$173:$E$432,$E110)</f>
        <v>1</v>
      </c>
      <c r="AV110" s="60">
        <f>SUMIFS(NGT_TO!AV$173:AV$432,NGT_TO!$E$173:$E$432,$E110)</f>
        <v>1</v>
      </c>
      <c r="AW110" s="60">
        <f>SUMIFS(NGT_TO!AW$173:AW$432,NGT_TO!$E$173:$E$432,$E110)</f>
        <v>1</v>
      </c>
      <c r="AX110" s="60">
        <f>SUMIFS(NGT_TO!AX$173:AX$432,NGT_TO!$E$173:$E$432,$E110)</f>
        <v>1</v>
      </c>
      <c r="AY110" s="60">
        <f>SUMIFS(NGT_TO!AY$173:AY$432,NGT_TO!$E$173:$E$432,$E110)</f>
        <v>1</v>
      </c>
      <c r="BA110" s="38" t="b">
        <f>INDEX(NGT_TO!AV$128:AV$172,MATCH($E110,NGT_TO!$E$128:$E$172,0))</f>
        <v>1</v>
      </c>
      <c r="BB110" s="59">
        <f>INDEX(NGT_TO!AW$128:AW$172,MATCH($E110,NGT_TO!$E$128:$E$172,0))</f>
        <v>1</v>
      </c>
      <c r="BC110" s="61" t="b">
        <f t="shared" si="4"/>
        <v>0</v>
      </c>
    </row>
    <row r="111" spans="1:55" customFormat="1" ht="16.5">
      <c r="E111" t="str">
        <f>NGT_TO!E88</f>
        <v>Physical Security Price Control Deliverable - Re-Opener Element</v>
      </c>
      <c r="F111" s="43" t="s">
        <v>47</v>
      </c>
      <c r="G111" s="43" t="s">
        <v>33</v>
      </c>
      <c r="H111" s="43" t="s">
        <v>895</v>
      </c>
      <c r="AT111" s="77"/>
      <c r="AU111" s="105">
        <f>SUMIFS(NGT_TO!AU$173:AU$432,NGT_TO!$E$173:$E$432,$E111)</f>
        <v>0</v>
      </c>
      <c r="AV111" s="60">
        <f>SUMIFS(NGT_TO!AV$173:AV$432,NGT_TO!$E$173:$E$432,$E111)</f>
        <v>0</v>
      </c>
      <c r="AW111" s="60">
        <f>SUMIFS(NGT_TO!AW$173:AW$432,NGT_TO!$E$173:$E$432,$E111)</f>
        <v>0</v>
      </c>
      <c r="AX111" s="60">
        <f>SUMIFS(NGT_TO!AX$173:AX$432,NGT_TO!$E$173:$E$432,$E111)</f>
        <v>0</v>
      </c>
      <c r="AY111" s="60">
        <f>SUMIFS(NGT_TO!AY$173:AY$432,NGT_TO!$E$173:$E$432,$E111)</f>
        <v>0</v>
      </c>
      <c r="BA111" s="38" t="b">
        <f>INDEX(NGT_TO!AV$128:AV$172,MATCH($E111,NGT_TO!$E$128:$E$172,0))</f>
        <v>0</v>
      </c>
      <c r="BB111" s="59">
        <f>INDEX(NGT_TO!AW$128:AW$172,MATCH($E111,NGT_TO!$E$128:$E$172,0))</f>
        <v>2</v>
      </c>
      <c r="BC111" s="61" t="b">
        <f t="shared" si="4"/>
        <v>0</v>
      </c>
    </row>
    <row r="112" spans="1:55" customFormat="1" ht="16.5">
      <c r="E112" t="str">
        <f>NGT_TO!E89</f>
        <v>Small Decarbonisation Projects Re-opener</v>
      </c>
      <c r="F112" s="43" t="s">
        <v>48</v>
      </c>
      <c r="G112" s="43" t="s">
        <v>33</v>
      </c>
      <c r="H112" s="43" t="s">
        <v>896</v>
      </c>
      <c r="AT112" s="77"/>
      <c r="AU112" s="105">
        <f>SUMIFS(NGT_TO!AU$173:AU$432,NGT_TO!$E$173:$E$432,$E112)</f>
        <v>1</v>
      </c>
      <c r="AV112" s="60">
        <f>SUMIFS(NGT_TO!AV$173:AV$432,NGT_TO!$E$173:$E$432,$E112)</f>
        <v>1</v>
      </c>
      <c r="AW112" s="60">
        <f>SUMIFS(NGT_TO!AW$173:AW$432,NGT_TO!$E$173:$E$432,$E112)</f>
        <v>1</v>
      </c>
      <c r="AX112" s="60">
        <f>SUMIFS(NGT_TO!AX$173:AX$432,NGT_TO!$E$173:$E$432,$E112)</f>
        <v>1</v>
      </c>
      <c r="AY112" s="60">
        <f>SUMIFS(NGT_TO!AY$173:AY$432,NGT_TO!$E$173:$E$432,$E112)</f>
        <v>1</v>
      </c>
      <c r="BA112" s="38" t="b">
        <f>INDEX(NGT_TO!AV$128:AV$172,MATCH($E112,NGT_TO!$E$128:$E$172,0))</f>
        <v>0</v>
      </c>
      <c r="BB112" s="59">
        <f>INDEX(NGT_TO!AW$128:AW$172,MATCH($E112,NGT_TO!$E$128:$E$172,0))</f>
        <v>2</v>
      </c>
      <c r="BC112" s="61" t="b">
        <f t="shared" si="4"/>
        <v>0</v>
      </c>
    </row>
    <row r="113" spans="5:55" customFormat="1" ht="16.5">
      <c r="E113" t="str">
        <f>NGT_TO!E90</f>
        <v>Decarbonisation Project Development Fund UIOLI</v>
      </c>
      <c r="F113" s="43" t="s">
        <v>49</v>
      </c>
      <c r="G113" s="43" t="s">
        <v>33</v>
      </c>
      <c r="H113" s="43" t="s">
        <v>897</v>
      </c>
      <c r="AT113" s="77"/>
      <c r="AU113" s="105">
        <f>SUMIFS(NGT_TO!AU$173:AU$432,NGT_TO!$E$173:$E$432,$E113)</f>
        <v>1</v>
      </c>
      <c r="AV113" s="60">
        <f>SUMIFS(NGT_TO!AV$173:AV$432,NGT_TO!$E$173:$E$432,$E113)</f>
        <v>1</v>
      </c>
      <c r="AW113" s="60">
        <f>SUMIFS(NGT_TO!AW$173:AW$432,NGT_TO!$E$173:$E$432,$E113)</f>
        <v>1</v>
      </c>
      <c r="AX113" s="60">
        <f>SUMIFS(NGT_TO!AX$173:AX$432,NGT_TO!$E$173:$E$432,$E113)</f>
        <v>1</v>
      </c>
      <c r="AY113" s="60">
        <f>SUMIFS(NGT_TO!AY$173:AY$432,NGT_TO!$E$173:$E$432,$E113)</f>
        <v>1</v>
      </c>
      <c r="BA113" s="38" t="b">
        <f>INDEX(NGT_TO!AV$128:AV$172,MATCH($E113,NGT_TO!$E$128:$E$172,0))</f>
        <v>0</v>
      </c>
      <c r="BB113" s="59">
        <f>INDEX(NGT_TO!AW$128:AW$172,MATCH($E113,NGT_TO!$E$128:$E$172,0))</f>
        <v>1</v>
      </c>
      <c r="BC113" s="61" t="b">
        <f t="shared" si="4"/>
        <v>0</v>
      </c>
    </row>
    <row r="114" spans="5:55" customFormat="1" ht="16.5">
      <c r="E114" t="str">
        <f>NGT_TO!E91</f>
        <v>Decarbonisation and Environmental Policy Re-Opener</v>
      </c>
      <c r="F114" s="43" t="s">
        <v>54</v>
      </c>
      <c r="G114" s="43" t="s">
        <v>33</v>
      </c>
      <c r="H114" s="43" t="s">
        <v>898</v>
      </c>
      <c r="AT114" s="77"/>
      <c r="AU114" s="105">
        <f>SUMIFS(NGT_TO!AU$173:AU$432,NGT_TO!$E$173:$E$432,$E114)</f>
        <v>1</v>
      </c>
      <c r="AV114" s="60">
        <f>SUMIFS(NGT_TO!AV$173:AV$432,NGT_TO!$E$173:$E$432,$E114)</f>
        <v>1</v>
      </c>
      <c r="AW114" s="60">
        <f>SUMIFS(NGT_TO!AW$173:AW$432,NGT_TO!$E$173:$E$432,$E114)</f>
        <v>1</v>
      </c>
      <c r="AX114" s="60">
        <f>SUMIFS(NGT_TO!AX$173:AX$432,NGT_TO!$E$173:$E$432,$E114)</f>
        <v>1</v>
      </c>
      <c r="AY114" s="60">
        <f>SUMIFS(NGT_TO!AY$173:AY$432,NGT_TO!$E$173:$E$432,$E114)</f>
        <v>1</v>
      </c>
      <c r="BA114" s="38" t="b">
        <f>INDEX(NGT_TO!AV$128:AV$172,MATCH($E114,NGT_TO!$E$128:$E$172,0))</f>
        <v>0</v>
      </c>
      <c r="BB114" s="59">
        <f>INDEX(NGT_TO!AW$128:AW$172,MATCH($E114,NGT_TO!$E$128:$E$172,0))</f>
        <v>2</v>
      </c>
      <c r="BC114" s="61" t="b">
        <f t="shared" si="4"/>
        <v>0</v>
      </c>
    </row>
    <row r="115" spans="5:55" customFormat="1" ht="16.5">
      <c r="E115" t="str">
        <f>NGT_TO!E92</f>
        <v>Digitalisation Re-opener</v>
      </c>
      <c r="F115" s="43" t="s">
        <v>57</v>
      </c>
      <c r="G115" s="43" t="s">
        <v>33</v>
      </c>
      <c r="H115" s="43" t="s">
        <v>899</v>
      </c>
      <c r="AT115" s="77"/>
      <c r="AU115" s="105">
        <f>SUMIFS(NGT_TO!AU$173:AU$432,NGT_TO!$E$173:$E$432,$E115)</f>
        <v>1</v>
      </c>
      <c r="AV115" s="60">
        <f>SUMIFS(NGT_TO!AV$173:AV$432,NGT_TO!$E$173:$E$432,$E115)</f>
        <v>1</v>
      </c>
      <c r="AW115" s="60">
        <f>SUMIFS(NGT_TO!AW$173:AW$432,NGT_TO!$E$173:$E$432,$E115)</f>
        <v>1</v>
      </c>
      <c r="AX115" s="60">
        <f>SUMIFS(NGT_TO!AX$173:AX$432,NGT_TO!$E$173:$E$432,$E115)</f>
        <v>1</v>
      </c>
      <c r="AY115" s="60">
        <f>SUMIFS(NGT_TO!AY$173:AY$432,NGT_TO!$E$173:$E$432,$E115)</f>
        <v>1</v>
      </c>
      <c r="BA115" s="38" t="b">
        <f>INDEX(NGT_TO!AV$128:AV$172,MATCH($E115,NGT_TO!$E$128:$E$172,0))</f>
        <v>0</v>
      </c>
      <c r="BB115" s="59">
        <f>INDEX(NGT_TO!AW$128:AW$172,MATCH($E115,NGT_TO!$E$128:$E$172,0))</f>
        <v>2</v>
      </c>
      <c r="BC115" s="61" t="b">
        <f t="shared" si="4"/>
        <v>0</v>
      </c>
    </row>
    <row r="116" spans="5:55" customFormat="1" ht="16.5">
      <c r="E116" t="str">
        <f>NGT_TO!E93</f>
        <v>Coordinated Adjustment Mechanism Re-opener</v>
      </c>
      <c r="F116" s="43" t="s">
        <v>52</v>
      </c>
      <c r="G116" s="43" t="s">
        <v>33</v>
      </c>
      <c r="H116" s="43" t="s">
        <v>900</v>
      </c>
      <c r="AT116" s="77"/>
      <c r="AU116" s="105">
        <f>SUMIFS(NGT_TO!AU$173:AU$432,NGT_TO!$E$173:$E$432,$E116)</f>
        <v>0</v>
      </c>
      <c r="AV116" s="60">
        <f>SUMIFS(NGT_TO!AV$173:AV$432,NGT_TO!$E$173:$E$432,$E116)</f>
        <v>0</v>
      </c>
      <c r="AW116" s="60">
        <f>SUMIFS(NGT_TO!AW$173:AW$432,NGT_TO!$E$173:$E$432,$E116)</f>
        <v>0</v>
      </c>
      <c r="AX116" s="60">
        <f>SUMIFS(NGT_TO!AX$173:AX$432,NGT_TO!$E$173:$E$432,$E116)</f>
        <v>0</v>
      </c>
      <c r="AY116" s="60">
        <f>SUMIFS(NGT_TO!AY$173:AY$432,NGT_TO!$E$173:$E$432,$E116)</f>
        <v>0</v>
      </c>
      <c r="BA116" s="38" t="b">
        <f>INDEX(NGT_TO!AV$128:AV$172,MATCH($E116,NGT_TO!$E$128:$E$172,0))</f>
        <v>0</v>
      </c>
      <c r="BB116" s="59">
        <f>INDEX(NGT_TO!AW$128:AW$172,MATCH($E116,NGT_TO!$E$128:$E$172,0))</f>
        <v>2</v>
      </c>
      <c r="BC116" s="61" t="b">
        <f t="shared" si="4"/>
        <v>0</v>
      </c>
    </row>
    <row r="117" spans="5:55" customFormat="1" ht="16.5">
      <c r="E117" t="str">
        <f>NGT_TO!E94</f>
        <v>Bacton terminal site redevelopment Price Control Deliverable</v>
      </c>
      <c r="F117" s="43" t="s">
        <v>58</v>
      </c>
      <c r="G117" s="43" t="s">
        <v>33</v>
      </c>
      <c r="H117" s="43" t="s">
        <v>901</v>
      </c>
      <c r="AT117" s="77"/>
      <c r="AU117" s="105">
        <f>SUMIFS(NGT_TO!AU$173:AU$432,NGT_TO!$E$173:$E$432,$E117)</f>
        <v>1</v>
      </c>
      <c r="AV117" s="60">
        <f>SUMIFS(NGT_TO!AV$173:AV$432,NGT_TO!$E$173:$E$432,$E117)</f>
        <v>1</v>
      </c>
      <c r="AW117" s="60">
        <f>SUMIFS(NGT_TO!AW$173:AW$432,NGT_TO!$E$173:$E$432,$E117)</f>
        <v>1</v>
      </c>
      <c r="AX117" s="60">
        <f>SUMIFS(NGT_TO!AX$173:AX$432,NGT_TO!$E$173:$E$432,$E117)</f>
        <v>1</v>
      </c>
      <c r="AY117" s="60">
        <f>SUMIFS(NGT_TO!AY$173:AY$432,NGT_TO!$E$173:$E$432,$E117)</f>
        <v>1</v>
      </c>
      <c r="BA117" s="38" t="b">
        <f>INDEX(NGT_TO!AV$128:AV$172,MATCH($E117,NGT_TO!$E$128:$E$172,0))</f>
        <v>1</v>
      </c>
      <c r="BB117" s="59">
        <f>INDEX(NGT_TO!AW$128:AW$172,MATCH($E117,NGT_TO!$E$128:$E$172,0))</f>
        <v>1</v>
      </c>
      <c r="BC117" s="61" t="b">
        <f t="shared" si="4"/>
        <v>0</v>
      </c>
    </row>
    <row r="118" spans="5:55" customFormat="1" ht="16.5">
      <c r="E118" t="str">
        <f>NGT_TO!E95</f>
        <v>Compressor Emissions Price Control Deliverable</v>
      </c>
      <c r="F118" s="43" t="s">
        <v>42</v>
      </c>
      <c r="G118" s="43" t="s">
        <v>33</v>
      </c>
      <c r="H118" s="43" t="s">
        <v>902</v>
      </c>
      <c r="AT118" s="77"/>
      <c r="AU118" s="105">
        <f>SUMIFS(NGT_TO!AU$173:AU$432,NGT_TO!$E$173:$E$432,$E118)</f>
        <v>0</v>
      </c>
      <c r="AV118" s="60">
        <f>SUMIFS(NGT_TO!AV$173:AV$432,NGT_TO!$E$173:$E$432,$E118)</f>
        <v>0</v>
      </c>
      <c r="AW118" s="60">
        <f>SUMIFS(NGT_TO!AW$173:AW$432,NGT_TO!$E$173:$E$432,$E118)</f>
        <v>0</v>
      </c>
      <c r="AX118" s="60">
        <f>SUMIFS(NGT_TO!AX$173:AX$432,NGT_TO!$E$173:$E$432,$E118)</f>
        <v>0</v>
      </c>
      <c r="AY118" s="60">
        <f>SUMIFS(NGT_TO!AY$173:AY$432,NGT_TO!$E$173:$E$432,$E118)</f>
        <v>0</v>
      </c>
      <c r="BA118" s="38" t="b">
        <f>INDEX(NGT_TO!AV$128:AV$172,MATCH($E118,NGT_TO!$E$128:$E$172,0))</f>
        <v>1</v>
      </c>
      <c r="BB118" s="59">
        <f>INDEX(NGT_TO!AW$128:AW$172,MATCH($E118,NGT_TO!$E$128:$E$172,0))</f>
        <v>1</v>
      </c>
      <c r="BC118" s="61" t="b">
        <f t="shared" si="4"/>
        <v>0</v>
      </c>
    </row>
    <row r="119" spans="5:55" customFormat="1" ht="16.5">
      <c r="E119" t="str">
        <f>NGT_TO!E96</f>
        <v>Funded Incremental Obligated Capacity Price Control Deliverable</v>
      </c>
      <c r="F119" s="43" t="s">
        <v>43</v>
      </c>
      <c r="G119" s="43" t="s">
        <v>33</v>
      </c>
      <c r="H119" s="43" t="s">
        <v>903</v>
      </c>
      <c r="AT119" s="77"/>
      <c r="AU119" s="105">
        <f>SUMIFS(NGT_TO!AU$173:AU$432,NGT_TO!$E$173:$E$432,$E119)</f>
        <v>0</v>
      </c>
      <c r="AV119" s="60">
        <f>SUMIFS(NGT_TO!AV$173:AV$432,NGT_TO!$E$173:$E$432,$E119)</f>
        <v>0</v>
      </c>
      <c r="AW119" s="60">
        <f>SUMIFS(NGT_TO!AW$173:AW$432,NGT_TO!$E$173:$E$432,$E119)</f>
        <v>0</v>
      </c>
      <c r="AX119" s="60">
        <f>SUMIFS(NGT_TO!AX$173:AX$432,NGT_TO!$E$173:$E$432,$E119)</f>
        <v>0</v>
      </c>
      <c r="AY119" s="60">
        <f>SUMIFS(NGT_TO!AY$173:AY$432,NGT_TO!$E$173:$E$432,$E119)</f>
        <v>0</v>
      </c>
      <c r="BA119" s="38" t="b">
        <f>INDEX(NGT_TO!AV$128:AV$172,MATCH($E119,NGT_TO!$E$128:$E$172,0))</f>
        <v>1</v>
      </c>
      <c r="BB119" s="59">
        <f>INDEX(NGT_TO!AW$128:AW$172,MATCH($E119,NGT_TO!$E$128:$E$172,0))</f>
        <v>1</v>
      </c>
      <c r="BC119" s="61" t="b">
        <f t="shared" si="4"/>
        <v>0</v>
      </c>
    </row>
    <row r="120" spans="5:55" customFormat="1" ht="16.5">
      <c r="E120" t="str">
        <f>NGT_TO!E97</f>
        <v>Funded Incremental Obligated Capacity Price Control Deliverable - Re-Opener Element</v>
      </c>
      <c r="F120" s="43" t="s">
        <v>43</v>
      </c>
      <c r="G120" s="43" t="s">
        <v>33</v>
      </c>
      <c r="H120" s="43" t="s">
        <v>904</v>
      </c>
      <c r="AT120" s="77"/>
      <c r="AU120" s="105">
        <f>SUMIFS(NGT_TO!AU$173:AU$432,NGT_TO!$E$173:$E$432,$E120)</f>
        <v>0</v>
      </c>
      <c r="AV120" s="60">
        <f>SUMIFS(NGT_TO!AV$173:AV$432,NGT_TO!$E$173:$E$432,$E120)</f>
        <v>0</v>
      </c>
      <c r="AW120" s="60">
        <f>SUMIFS(NGT_TO!AW$173:AW$432,NGT_TO!$E$173:$E$432,$E120)</f>
        <v>0</v>
      </c>
      <c r="AX120" s="60">
        <f>SUMIFS(NGT_TO!AX$173:AX$432,NGT_TO!$E$173:$E$432,$E120)</f>
        <v>0</v>
      </c>
      <c r="AY120" s="60">
        <f>SUMIFS(NGT_TO!AY$173:AY$432,NGT_TO!$E$173:$E$432,$E120)</f>
        <v>0</v>
      </c>
      <c r="BA120" s="38" t="b">
        <f>INDEX(NGT_TO!AV$128:AV$172,MATCH($E120,NGT_TO!$E$128:$E$172,0))</f>
        <v>1</v>
      </c>
      <c r="BB120" s="59">
        <f>INDEX(NGT_TO!AW$128:AW$172,MATCH($E120,NGT_TO!$E$128:$E$172,0))</f>
        <v>2</v>
      </c>
      <c r="BC120" s="61" t="b">
        <f t="shared" si="4"/>
        <v>0</v>
      </c>
    </row>
    <row r="121" spans="5:55" customFormat="1" ht="16.5">
      <c r="E121" t="str">
        <f>NGT_TO!E98</f>
        <v>Asset health Re-Opener</v>
      </c>
      <c r="F121" s="43" t="s">
        <v>44</v>
      </c>
      <c r="G121" s="43" t="s">
        <v>33</v>
      </c>
      <c r="H121" s="43" t="s">
        <v>905</v>
      </c>
      <c r="AT121" s="77"/>
      <c r="AU121" s="105">
        <f>SUMIFS(NGT_TO!AU$173:AU$432,NGT_TO!$E$173:$E$432,$E121)</f>
        <v>1</v>
      </c>
      <c r="AV121" s="60">
        <f>SUMIFS(NGT_TO!AV$173:AV$432,NGT_TO!$E$173:$E$432,$E121)</f>
        <v>1</v>
      </c>
      <c r="AW121" s="60">
        <f>SUMIFS(NGT_TO!AW$173:AW$432,NGT_TO!$E$173:$E$432,$E121)</f>
        <v>1</v>
      </c>
      <c r="AX121" s="60">
        <f>SUMIFS(NGT_TO!AX$173:AX$432,NGT_TO!$E$173:$E$432,$E121)</f>
        <v>1</v>
      </c>
      <c r="AY121" s="60">
        <f>SUMIFS(NGT_TO!AY$173:AY$432,NGT_TO!$E$173:$E$432,$E121)</f>
        <v>1</v>
      </c>
      <c r="BA121" s="38" t="b">
        <f>INDEX(NGT_TO!AV$128:AV$172,MATCH($E121,NGT_TO!$E$128:$E$172,0))</f>
        <v>1</v>
      </c>
      <c r="BB121" s="59">
        <f>INDEX(NGT_TO!AW$128:AW$172,MATCH($E121,NGT_TO!$E$128:$E$172,0))</f>
        <v>2</v>
      </c>
      <c r="BC121" s="61" t="b">
        <f t="shared" si="4"/>
        <v>0</v>
      </c>
    </row>
    <row r="122" spans="5:55" customFormat="1" ht="16.5">
      <c r="E122" t="str">
        <f>NGT_TO!E99</f>
        <v>Redundant assets Price Control Deliverable</v>
      </c>
      <c r="F122" s="43" t="s">
        <v>45</v>
      </c>
      <c r="G122" s="43" t="s">
        <v>33</v>
      </c>
      <c r="H122" s="43" t="s">
        <v>906</v>
      </c>
      <c r="AT122" s="77"/>
      <c r="AU122" s="105">
        <f>SUMIFS(NGT_TO!AU$173:AU$432,NGT_TO!$E$173:$E$432,$E122)</f>
        <v>1</v>
      </c>
      <c r="AV122" s="60">
        <f>SUMIFS(NGT_TO!AV$173:AV$432,NGT_TO!$E$173:$E$432,$E122)</f>
        <v>1</v>
      </c>
      <c r="AW122" s="60">
        <f>SUMIFS(NGT_TO!AW$173:AW$432,NGT_TO!$E$173:$E$432,$E122)</f>
        <v>1</v>
      </c>
      <c r="AX122" s="60">
        <f>SUMIFS(NGT_TO!AX$173:AX$432,NGT_TO!$E$173:$E$432,$E122)</f>
        <v>1</v>
      </c>
      <c r="AY122" s="60">
        <f>SUMIFS(NGT_TO!AY$173:AY$432,NGT_TO!$E$173:$E$432,$E122)</f>
        <v>1</v>
      </c>
      <c r="BA122" s="38" t="b">
        <f>INDEX(NGT_TO!AV$128:AV$172,MATCH($E122,NGT_TO!$E$128:$E$172,0))</f>
        <v>1</v>
      </c>
      <c r="BB122" s="59">
        <f>INDEX(NGT_TO!AW$128:AW$172,MATCH($E122,NGT_TO!$E$128:$E$172,0))</f>
        <v>1</v>
      </c>
      <c r="BC122" s="61" t="b">
        <f t="shared" si="4"/>
        <v>0</v>
      </c>
    </row>
    <row r="123" spans="5:55" customFormat="1" ht="16.5">
      <c r="E123" t="str">
        <f>NGT_TO!E100</f>
        <v>Pipeline Diversions Re-opener</v>
      </c>
      <c r="F123" s="43" t="s">
        <v>53</v>
      </c>
      <c r="G123" s="43" t="s">
        <v>33</v>
      </c>
      <c r="H123" s="43" t="s">
        <v>907</v>
      </c>
      <c r="AT123" s="77"/>
      <c r="AU123" s="105">
        <f>SUMIFS(NGT_TO!AU$173:AU$432,NGT_TO!$E$173:$E$432,$E123)</f>
        <v>0</v>
      </c>
      <c r="AV123" s="60">
        <f>SUMIFS(NGT_TO!AV$173:AV$432,NGT_TO!$E$173:$E$432,$E123)</f>
        <v>0</v>
      </c>
      <c r="AW123" s="60">
        <f>SUMIFS(NGT_TO!AW$173:AW$432,NGT_TO!$E$173:$E$432,$E123)</f>
        <v>0</v>
      </c>
      <c r="AX123" s="60">
        <f>SUMIFS(NGT_TO!AX$173:AX$432,NGT_TO!$E$173:$E$432,$E123)</f>
        <v>0</v>
      </c>
      <c r="AY123" s="60">
        <f>SUMIFS(NGT_TO!AY$173:AY$432,NGT_TO!$E$173:$E$432,$E123)</f>
        <v>0</v>
      </c>
      <c r="BA123" s="38" t="b">
        <f>INDEX(NGT_TO!AV$128:AV$172,MATCH($E123,NGT_TO!$E$128:$E$172,0))</f>
        <v>0</v>
      </c>
      <c r="BB123" s="59">
        <f>INDEX(NGT_TO!AW$128:AW$172,MATCH($E123,NGT_TO!$E$128:$E$172,0))</f>
        <v>2</v>
      </c>
      <c r="BC123" s="61" t="b">
        <f t="shared" si="4"/>
        <v>0</v>
      </c>
    </row>
    <row r="124" spans="5:55" customFormat="1" ht="16.5">
      <c r="E124" t="str">
        <f>NGT_TO!E101</f>
        <v>Biomethane Connections use it or lose it allowance</v>
      </c>
      <c r="F124" s="43" t="s">
        <v>55</v>
      </c>
      <c r="G124" s="43" t="s">
        <v>33</v>
      </c>
      <c r="H124" s="43" t="s">
        <v>908</v>
      </c>
      <c r="AT124" s="77"/>
      <c r="AU124" s="105">
        <f>SUMIFS(NGT_TO!AU$173:AU$432,NGT_TO!$E$173:$E$432,$E124)</f>
        <v>1</v>
      </c>
      <c r="AV124" s="60">
        <f>SUMIFS(NGT_TO!AV$173:AV$432,NGT_TO!$E$173:$E$432,$E124)</f>
        <v>1</v>
      </c>
      <c r="AW124" s="60">
        <f>SUMIFS(NGT_TO!AW$173:AW$432,NGT_TO!$E$173:$E$432,$E124)</f>
        <v>1</v>
      </c>
      <c r="AX124" s="60">
        <f>SUMIFS(NGT_TO!AX$173:AX$432,NGT_TO!$E$173:$E$432,$E124)</f>
        <v>1</v>
      </c>
      <c r="AY124" s="60">
        <f>SUMIFS(NGT_TO!AY$173:AY$432,NGT_TO!$E$173:$E$432,$E124)</f>
        <v>1</v>
      </c>
      <c r="BA124" s="38" t="b">
        <f>INDEX(NGT_TO!AV$128:AV$172,MATCH($E124,NGT_TO!$E$128:$E$172,0))</f>
        <v>0</v>
      </c>
      <c r="BB124" s="59">
        <f>INDEX(NGT_TO!AW$128:AW$172,MATCH($E124,NGT_TO!$E$128:$E$172,0))</f>
        <v>1</v>
      </c>
      <c r="BC124" s="61" t="b">
        <f t="shared" si="4"/>
        <v>0</v>
      </c>
    </row>
    <row r="125" spans="5:55" customFormat="1" ht="16.5">
      <c r="E125" t="str">
        <f>NGT_TO!E102</f>
        <v>Compressor Breakdown Use it or lose it allowance</v>
      </c>
      <c r="F125" s="43" t="s">
        <v>50</v>
      </c>
      <c r="G125" s="43" t="s">
        <v>33</v>
      </c>
      <c r="H125" s="43" t="s">
        <v>909</v>
      </c>
      <c r="AT125" s="77"/>
      <c r="AU125" s="105">
        <f>SUMIFS(NGT_TO!AU$173:AU$432,NGT_TO!$E$173:$E$432,$E125)</f>
        <v>1</v>
      </c>
      <c r="AV125" s="60">
        <f>SUMIFS(NGT_TO!AV$173:AV$432,NGT_TO!$E$173:$E$432,$E125)</f>
        <v>1</v>
      </c>
      <c r="AW125" s="60">
        <f>SUMIFS(NGT_TO!AW$173:AW$432,NGT_TO!$E$173:$E$432,$E125)</f>
        <v>1</v>
      </c>
      <c r="AX125" s="60">
        <f>SUMIFS(NGT_TO!AX$173:AX$432,NGT_TO!$E$173:$E$432,$E125)</f>
        <v>1</v>
      </c>
      <c r="AY125" s="60">
        <f>SUMIFS(NGT_TO!AY$173:AY$432,NGT_TO!$E$173:$E$432,$E125)</f>
        <v>1</v>
      </c>
      <c r="BA125" s="38" t="b">
        <f>INDEX(NGT_TO!AV$128:AV$172,MATCH($E125,NGT_TO!$E$128:$E$172,0))</f>
        <v>0</v>
      </c>
      <c r="BB125" s="59">
        <f>INDEX(NGT_TO!AW$128:AW$172,MATCH($E125,NGT_TO!$E$128:$E$172,0))</f>
        <v>1</v>
      </c>
      <c r="BC125" s="61" t="b">
        <f t="shared" si="4"/>
        <v>0</v>
      </c>
    </row>
    <row r="126" spans="5:55" customFormat="1" ht="16.5">
      <c r="E126" t="str">
        <f>NGT_TO!E103</f>
        <v>Nitrogen Sleeves Price Control Deliverable</v>
      </c>
      <c r="F126" s="43" t="s">
        <v>51</v>
      </c>
      <c r="G126" s="43" t="s">
        <v>33</v>
      </c>
      <c r="H126" s="43" t="s">
        <v>910</v>
      </c>
      <c r="AT126" s="77"/>
      <c r="AU126" s="105">
        <f>SUMIFS(NGT_TO!AU$173:AU$432,NGT_TO!$E$173:$E$432,$E126)</f>
        <v>1</v>
      </c>
      <c r="AV126" s="60">
        <f>SUMIFS(NGT_TO!AV$173:AV$432,NGT_TO!$E$173:$E$432,$E126)</f>
        <v>1</v>
      </c>
      <c r="AW126" s="60">
        <f>SUMIFS(NGT_TO!AW$173:AW$432,NGT_TO!$E$173:$E$432,$E126)</f>
        <v>1</v>
      </c>
      <c r="AX126" s="60">
        <f>SUMIFS(NGT_TO!AX$173:AX$432,NGT_TO!$E$173:$E$432,$E126)</f>
        <v>1</v>
      </c>
      <c r="AY126" s="60">
        <f>SUMIFS(NGT_TO!AY$173:AY$432,NGT_TO!$E$173:$E$432,$E126)</f>
        <v>1</v>
      </c>
      <c r="BA126" s="38" t="b">
        <f>INDEX(NGT_TO!AV$128:AV$172,MATCH($E126,NGT_TO!$E$128:$E$172,0))</f>
        <v>1</v>
      </c>
      <c r="BB126" s="59">
        <f>INDEX(NGT_TO!AW$128:AW$172,MATCH($E126,NGT_TO!$E$128:$E$172,0))</f>
        <v>1</v>
      </c>
      <c r="BC126" s="61" t="b">
        <f t="shared" si="4"/>
        <v>0</v>
      </c>
    </row>
    <row r="127" spans="5:55" customFormat="1" ht="16.5">
      <c r="E127" t="str">
        <f>NGT_TO!E104</f>
        <v>West Import Resilience Project Price Control Deliverable</v>
      </c>
      <c r="F127" s="43" t="s">
        <v>56</v>
      </c>
      <c r="G127" s="43" t="s">
        <v>33</v>
      </c>
      <c r="H127" s="43" t="s">
        <v>911</v>
      </c>
      <c r="AT127" s="77"/>
      <c r="AU127" s="105">
        <f>SUMIFS(NGT_TO!AU$173:AU$432,NGT_TO!$E$173:$E$432,$E127)</f>
        <v>1</v>
      </c>
      <c r="AV127" s="60">
        <f>SUMIFS(NGT_TO!AV$173:AV$432,NGT_TO!$E$173:$E$432,$E127)</f>
        <v>1</v>
      </c>
      <c r="AW127" s="60">
        <f>SUMIFS(NGT_TO!AW$173:AW$432,NGT_TO!$E$173:$E$432,$E127)</f>
        <v>1</v>
      </c>
      <c r="AX127" s="60">
        <f>SUMIFS(NGT_TO!AX$173:AX$432,NGT_TO!$E$173:$E$432,$E127)</f>
        <v>1</v>
      </c>
      <c r="AY127" s="60">
        <f>SUMIFS(NGT_TO!AY$173:AY$432,NGT_TO!$E$173:$E$432,$E127)</f>
        <v>1</v>
      </c>
      <c r="BA127" s="38" t="b">
        <f>INDEX(NGT_TO!AV$128:AV$172,MATCH($E127,NGT_TO!$E$128:$E$172,0))</f>
        <v>1</v>
      </c>
      <c r="BB127" s="59">
        <f>INDEX(NGT_TO!AW$128:AW$172,MATCH($E127,NGT_TO!$E$128:$E$172,0))</f>
        <v>1</v>
      </c>
      <c r="BC127" s="61" t="b">
        <f t="shared" si="4"/>
        <v>0</v>
      </c>
    </row>
    <row r="128" spans="5:55" customFormat="1" ht="16.5">
      <c r="E128" t="str">
        <f>NGT_TO!E105</f>
        <v>West Import Resilience Project Re-opener</v>
      </c>
      <c r="F128" s="43" t="s">
        <v>56</v>
      </c>
      <c r="G128" s="43" t="s">
        <v>33</v>
      </c>
      <c r="H128" s="43" t="s">
        <v>912</v>
      </c>
      <c r="AT128" s="77"/>
      <c r="AU128" s="105">
        <f>SUMIFS(NGT_TO!AU$173:AU$432,NGT_TO!$E$173:$E$432,$E128)</f>
        <v>1</v>
      </c>
      <c r="AV128" s="60">
        <f>SUMIFS(NGT_TO!AV$173:AV$432,NGT_TO!$E$173:$E$432,$E128)</f>
        <v>1</v>
      </c>
      <c r="AW128" s="60">
        <f>SUMIFS(NGT_TO!AW$173:AW$432,NGT_TO!$E$173:$E$432,$E128)</f>
        <v>1</v>
      </c>
      <c r="AX128" s="60">
        <f>SUMIFS(NGT_TO!AX$173:AX$432,NGT_TO!$E$173:$E$432,$E128)</f>
        <v>1</v>
      </c>
      <c r="AY128" s="60">
        <f>SUMIFS(NGT_TO!AY$173:AY$432,NGT_TO!$E$173:$E$432,$E128)</f>
        <v>1</v>
      </c>
      <c r="BA128" s="38" t="b">
        <f>INDEX(NGT_TO!AV$128:AV$172,MATCH($E128,NGT_TO!$E$128:$E$172,0))</f>
        <v>0</v>
      </c>
      <c r="BB128" s="59">
        <f>INDEX(NGT_TO!AW$128:AW$172,MATCH($E128,NGT_TO!$E$128:$E$172,0))</f>
        <v>2</v>
      </c>
      <c r="BC128" s="61" t="b">
        <f t="shared" si="4"/>
        <v>0</v>
      </c>
    </row>
    <row r="129" spans="5:55" customFormat="1" ht="16.5">
      <c r="E129" t="str">
        <f>NGT_TO!E106</f>
        <v>Gas strategic planning re-opener</v>
      </c>
      <c r="F129" s="43" t="s">
        <v>863</v>
      </c>
      <c r="G129" s="43" t="s">
        <v>33</v>
      </c>
      <c r="H129" s="43" t="s">
        <v>913</v>
      </c>
      <c r="AT129" s="77"/>
      <c r="AU129" s="105">
        <f>SUMIFS(NGT_TO!AU$173:AU$432,NGT_TO!$E$173:$E$432,$E129)</f>
        <v>1</v>
      </c>
      <c r="AV129" s="60">
        <f>SUMIFS(NGT_TO!AV$173:AV$432,NGT_TO!$E$173:$E$432,$E129)</f>
        <v>1</v>
      </c>
      <c r="AW129" s="60">
        <f>SUMIFS(NGT_TO!AW$173:AW$432,NGT_TO!$E$173:$E$432,$E129)</f>
        <v>1</v>
      </c>
      <c r="AX129" s="60">
        <f>SUMIFS(NGT_TO!AX$173:AX$432,NGT_TO!$E$173:$E$432,$E129)</f>
        <v>1</v>
      </c>
      <c r="AY129" s="60">
        <f>SUMIFS(NGT_TO!AY$173:AY$432,NGT_TO!$E$173:$E$432,$E129)</f>
        <v>1</v>
      </c>
      <c r="BA129" s="38" t="b">
        <f>INDEX(NGT_TO!AV$128:AV$172,MATCH($E129,NGT_TO!$E$128:$E$172,0))</f>
        <v>1</v>
      </c>
      <c r="BB129" s="59">
        <f>INDEX(NGT_TO!AW$128:AW$172,MATCH($E129,NGT_TO!$E$128:$E$172,0))</f>
        <v>2</v>
      </c>
      <c r="BC129" s="61" t="b">
        <f t="shared" si="4"/>
        <v>0</v>
      </c>
    </row>
    <row r="130" spans="5:55" customFormat="1" ht="16.5">
      <c r="E130" t="str">
        <f>NGT_TO!E107</f>
        <v>Office and Gas National Control Centre and Emergency Control Room Relocation Re-opener</v>
      </c>
      <c r="F130" s="43" t="s">
        <v>864</v>
      </c>
      <c r="G130" s="43" t="s">
        <v>33</v>
      </c>
      <c r="H130" s="43" t="s">
        <v>914</v>
      </c>
      <c r="I130" s="43"/>
      <c r="AT130" s="77"/>
      <c r="AU130" s="105">
        <f>SUMIFS(NGT_TO!AU$173:AU$432,NGT_TO!$E$173:$E$432,$E130)</f>
        <v>1</v>
      </c>
      <c r="AV130" s="60">
        <f>SUMIFS(NGT_TO!AV$173:AV$432,NGT_TO!$E$173:$E$432,$E130)</f>
        <v>1</v>
      </c>
      <c r="AW130" s="60">
        <f>SUMIFS(NGT_TO!AW$173:AW$432,NGT_TO!$E$173:$E$432,$E130)</f>
        <v>0.99999999999999989</v>
      </c>
      <c r="AX130" s="60">
        <f>SUMIFS(NGT_TO!AX$173:AX$432,NGT_TO!$E$173:$E$432,$E130)</f>
        <v>1</v>
      </c>
      <c r="AY130" s="60">
        <f>SUMIFS(NGT_TO!AY$173:AY$432,NGT_TO!$E$173:$E$432,$E130)</f>
        <v>1</v>
      </c>
      <c r="BA130" s="38" t="b">
        <f>INDEX(NGT_TO!AV$128:AV$172,MATCH($E130,NGT_TO!$E$128:$E$172,0))</f>
        <v>0</v>
      </c>
      <c r="BB130" s="59">
        <f>INDEX(NGT_TO!AW$128:AW$172,MATCH($E130,NGT_TO!$E$128:$E$172,0))</f>
        <v>2</v>
      </c>
      <c r="BC130" s="61" t="b">
        <f t="shared" si="4"/>
        <v>0</v>
      </c>
    </row>
    <row r="131" spans="5:55" customFormat="1" ht="16.5">
      <c r="E131" t="str">
        <f>NGT_TO!E108</f>
        <v>Network capability re-opener</v>
      </c>
      <c r="F131" s="43" t="s">
        <v>865</v>
      </c>
      <c r="G131" s="43" t="s">
        <v>33</v>
      </c>
      <c r="H131" s="43" t="s">
        <v>915</v>
      </c>
      <c r="AT131" s="77"/>
      <c r="AU131" s="105">
        <f>SUMIFS(NGT_TO!AU$173:AU$432,NGT_TO!$E$173:$E$432,$E131)</f>
        <v>1</v>
      </c>
      <c r="AV131" s="60">
        <f>SUMIFS(NGT_TO!AV$173:AV$432,NGT_TO!$E$173:$E$432,$E131)</f>
        <v>1</v>
      </c>
      <c r="AW131" s="60">
        <f>SUMIFS(NGT_TO!AW$173:AW$432,NGT_TO!$E$173:$E$432,$E131)</f>
        <v>1</v>
      </c>
      <c r="AX131" s="60">
        <f>SUMIFS(NGT_TO!AX$173:AX$432,NGT_TO!$E$173:$E$432,$E131)</f>
        <v>1</v>
      </c>
      <c r="AY131" s="60">
        <f>SUMIFS(NGT_TO!AY$173:AY$432,NGT_TO!$E$173:$E$432,$E131)</f>
        <v>1</v>
      </c>
      <c r="BA131" s="38" t="b">
        <f>INDEX(NGT_TO!AV$128:AV$172,MATCH($E131,NGT_TO!$E$128:$E$172,0))</f>
        <v>0</v>
      </c>
      <c r="BB131" s="59">
        <f>INDEX(NGT_TO!AW$128:AW$172,MATCH($E131,NGT_TO!$E$128:$E$172,0))</f>
        <v>2</v>
      </c>
      <c r="BC131" s="61" t="b">
        <f t="shared" si="4"/>
        <v>0</v>
      </c>
    </row>
    <row r="132" spans="5:55" customFormat="1" ht="16.5">
      <c r="E132" t="str">
        <f>NGT_TO!E109</f>
        <v>Bacton Enhanced Filtration re-opener</v>
      </c>
      <c r="F132" s="43" t="s">
        <v>627</v>
      </c>
      <c r="G132" s="43" t="s">
        <v>33</v>
      </c>
      <c r="H132" s="43" t="s">
        <v>916</v>
      </c>
      <c r="AT132" s="77"/>
      <c r="AU132" s="105">
        <f>SUMIFS(NGT_TO!AU$173:AU$432,NGT_TO!$E$173:$E$432,$E132)</f>
        <v>0</v>
      </c>
      <c r="AV132" s="60">
        <f>SUMIFS(NGT_TO!AV$173:AV$432,NGT_TO!$E$173:$E$432,$E132)</f>
        <v>0</v>
      </c>
      <c r="AW132" s="60">
        <f>SUMIFS(NGT_TO!AW$173:AW$432,NGT_TO!$E$173:$E$432,$E132)</f>
        <v>0</v>
      </c>
      <c r="AX132" s="60">
        <f>SUMIFS(NGT_TO!AX$173:AX$432,NGT_TO!$E$173:$E$432,$E132)</f>
        <v>0</v>
      </c>
      <c r="AY132" s="60">
        <f>SUMIFS(NGT_TO!AY$173:AY$432,NGT_TO!$E$173:$E$432,$E132)</f>
        <v>0</v>
      </c>
      <c r="BA132" s="38" t="b">
        <f>INDEX(NGT_TO!AV$128:AV$172,MATCH($E132,NGT_TO!$E$128:$E$172,0))</f>
        <v>0</v>
      </c>
      <c r="BB132" s="59">
        <f>INDEX(NGT_TO!AW$128:AW$172,MATCH($E132,NGT_TO!$E$128:$E$172,0))</f>
        <v>2</v>
      </c>
      <c r="BC132" s="61" t="b">
        <f t="shared" si="4"/>
        <v>0</v>
      </c>
    </row>
    <row r="133" spans="5:55" customFormat="1" ht="16.5">
      <c r="E133" t="str">
        <f>NGT_TO!E110</f>
        <v>Network decarbonisation and emissions compliance Re-opener</v>
      </c>
      <c r="F133" s="43" t="s">
        <v>866</v>
      </c>
      <c r="G133" s="43" t="s">
        <v>33</v>
      </c>
      <c r="H133" s="43" t="s">
        <v>917</v>
      </c>
      <c r="AT133" s="77"/>
      <c r="AU133" s="105">
        <f>SUMIFS(NGT_TO!AU$173:AU$432,NGT_TO!$E$173:$E$432,$E133)</f>
        <v>0</v>
      </c>
      <c r="AV133" s="60">
        <f>SUMIFS(NGT_TO!AV$173:AV$432,NGT_TO!$E$173:$E$432,$E133)</f>
        <v>0</v>
      </c>
      <c r="AW133" s="60">
        <f>SUMIFS(NGT_TO!AW$173:AW$432,NGT_TO!$E$173:$E$432,$E133)</f>
        <v>0</v>
      </c>
      <c r="AX133" s="60">
        <f>SUMIFS(NGT_TO!AX$173:AX$432,NGT_TO!$E$173:$E$432,$E133)</f>
        <v>0</v>
      </c>
      <c r="AY133" s="60">
        <f>SUMIFS(NGT_TO!AY$173:AY$432,NGT_TO!$E$173:$E$432,$E133)</f>
        <v>0</v>
      </c>
      <c r="BA133" s="38" t="b">
        <f>INDEX(NGT_TO!AV$128:AV$172,MATCH($E133,NGT_TO!$E$128:$E$172,0))</f>
        <v>0</v>
      </c>
      <c r="BB133" s="59">
        <f>INDEX(NGT_TO!AW$128:AW$172,MATCH($E133,NGT_TO!$E$128:$E$172,0))</f>
        <v>2</v>
      </c>
      <c r="BC133" s="61" t="b">
        <f t="shared" si="4"/>
        <v>0</v>
      </c>
    </row>
    <row r="134" spans="5:55" customFormat="1" ht="16.5">
      <c r="E134" t="str">
        <f>NGT_TO!E111</f>
        <v>Compressor acoustic building replacement Price Control Deliverable</v>
      </c>
      <c r="F134" s="43" t="s">
        <v>867</v>
      </c>
      <c r="G134" s="43" t="s">
        <v>33</v>
      </c>
      <c r="H134" s="43" t="s">
        <v>918</v>
      </c>
      <c r="AT134" s="77"/>
      <c r="AU134" s="105">
        <f>SUMIFS(NGT_TO!AU$173:AU$432,NGT_TO!$E$173:$E$432,$E134)</f>
        <v>1</v>
      </c>
      <c r="AV134" s="60">
        <f>SUMIFS(NGT_TO!AV$173:AV$432,NGT_TO!$E$173:$E$432,$E134)</f>
        <v>1</v>
      </c>
      <c r="AW134" s="60">
        <f>SUMIFS(NGT_TO!AW$173:AW$432,NGT_TO!$E$173:$E$432,$E134)</f>
        <v>1</v>
      </c>
      <c r="AX134" s="60">
        <f>SUMIFS(NGT_TO!AX$173:AX$432,NGT_TO!$E$173:$E$432,$E134)</f>
        <v>1</v>
      </c>
      <c r="AY134" s="60">
        <f>SUMIFS(NGT_TO!AY$173:AY$432,NGT_TO!$E$173:$E$432,$E134)</f>
        <v>1</v>
      </c>
      <c r="BA134" s="38" t="b">
        <f>INDEX(NGT_TO!AV$128:AV$172,MATCH($E134,NGT_TO!$E$128:$E$172,0))</f>
        <v>1</v>
      </c>
      <c r="BB134" s="59">
        <f>INDEX(NGT_TO!AW$128:AW$172,MATCH($E134,NGT_TO!$E$128:$E$172,0))</f>
        <v>1</v>
      </c>
      <c r="BC134" s="61" t="b">
        <f t="shared" si="4"/>
        <v>0</v>
      </c>
    </row>
    <row r="135" spans="5:55" customFormat="1" ht="16.5">
      <c r="E135" t="str">
        <f>NGT_TO!E112</f>
        <v>Easement Reinstatement Price Control Deliverable</v>
      </c>
      <c r="F135" s="43" t="s">
        <v>868</v>
      </c>
      <c r="G135" s="43" t="s">
        <v>33</v>
      </c>
      <c r="H135" s="43" t="s">
        <v>919</v>
      </c>
      <c r="AT135" s="77"/>
      <c r="AU135" s="105">
        <f>SUMIFS(NGT_TO!AU$173:AU$432,NGT_TO!$E$173:$E$432,$E135)</f>
        <v>1</v>
      </c>
      <c r="AV135" s="60">
        <f>SUMIFS(NGT_TO!AV$173:AV$432,NGT_TO!$E$173:$E$432,$E135)</f>
        <v>1</v>
      </c>
      <c r="AW135" s="60">
        <f>SUMIFS(NGT_TO!AW$173:AW$432,NGT_TO!$E$173:$E$432,$E135)</f>
        <v>1</v>
      </c>
      <c r="AX135" s="60">
        <f>SUMIFS(NGT_TO!AX$173:AX$432,NGT_TO!$E$173:$E$432,$E135)</f>
        <v>1</v>
      </c>
      <c r="AY135" s="60">
        <f>SUMIFS(NGT_TO!AY$173:AY$432,NGT_TO!$E$173:$E$432,$E135)</f>
        <v>1</v>
      </c>
      <c r="BA135" s="38" t="b">
        <f>INDEX(NGT_TO!AV$128:AV$172,MATCH($E135,NGT_TO!$E$128:$E$172,0))</f>
        <v>1</v>
      </c>
      <c r="BB135" s="59">
        <f>INDEX(NGT_TO!AW$128:AW$172,MATCH($E135,NGT_TO!$E$128:$E$172,0))</f>
        <v>1</v>
      </c>
      <c r="BC135" s="61" t="b">
        <f t="shared" si="4"/>
        <v>0</v>
      </c>
    </row>
    <row r="136" spans="5:55" customFormat="1" ht="16.5">
      <c r="E136" t="str">
        <f>NGT_TO!E113</f>
        <v>Removal and remediation of pipe stabbings Price Control Deliverable</v>
      </c>
      <c r="F136" s="43" t="s">
        <v>869</v>
      </c>
      <c r="G136" s="43" t="s">
        <v>33</v>
      </c>
      <c r="H136" s="43" t="s">
        <v>920</v>
      </c>
      <c r="AT136" s="77"/>
      <c r="AU136" s="105">
        <f>SUMIFS(NGT_TO!AU$173:AU$432,NGT_TO!$E$173:$E$432,$E136)</f>
        <v>1</v>
      </c>
      <c r="AV136" s="60">
        <f>SUMIFS(NGT_TO!AV$173:AV$432,NGT_TO!$E$173:$E$432,$E136)</f>
        <v>1</v>
      </c>
      <c r="AW136" s="60">
        <f>SUMIFS(NGT_TO!AW$173:AW$432,NGT_TO!$E$173:$E$432,$E136)</f>
        <v>1</v>
      </c>
      <c r="AX136" s="60">
        <f>SUMIFS(NGT_TO!AX$173:AX$432,NGT_TO!$E$173:$E$432,$E136)</f>
        <v>1</v>
      </c>
      <c r="AY136" s="60">
        <f>SUMIFS(NGT_TO!AY$173:AY$432,NGT_TO!$E$173:$E$432,$E136)</f>
        <v>1</v>
      </c>
      <c r="BA136" s="38" t="b">
        <f>INDEX(NGT_TO!AV$128:AV$172,MATCH($E136,NGT_TO!$E$128:$E$172,0))</f>
        <v>1</v>
      </c>
      <c r="BB136" s="59">
        <f>INDEX(NGT_TO!AW$128:AW$172,MATCH($E136,NGT_TO!$E$128:$E$172,0))</f>
        <v>1</v>
      </c>
      <c r="BC136" s="61" t="b">
        <f t="shared" si="4"/>
        <v>0</v>
      </c>
    </row>
    <row r="137" spans="5:55" customFormat="1" ht="16.5">
      <c r="E137" t="str">
        <f>NGT_TO!E114</f>
        <v>Actuator replacement Price Control Deliverable</v>
      </c>
      <c r="F137" s="43" t="s">
        <v>870</v>
      </c>
      <c r="G137" s="43" t="s">
        <v>33</v>
      </c>
      <c r="H137" s="43" t="s">
        <v>921</v>
      </c>
      <c r="AT137" s="77"/>
      <c r="AU137" s="105">
        <f>SUMIFS(NGT_TO!AU$173:AU$432,NGT_TO!$E$173:$E$432,$E137)</f>
        <v>1</v>
      </c>
      <c r="AV137" s="60">
        <f>SUMIFS(NGT_TO!AV$173:AV$432,NGT_TO!$E$173:$E$432,$E137)</f>
        <v>1</v>
      </c>
      <c r="AW137" s="60">
        <f>SUMIFS(NGT_TO!AW$173:AW$432,NGT_TO!$E$173:$E$432,$E137)</f>
        <v>1</v>
      </c>
      <c r="AX137" s="60">
        <f>SUMIFS(NGT_TO!AX$173:AX$432,NGT_TO!$E$173:$E$432,$E137)</f>
        <v>1</v>
      </c>
      <c r="AY137" s="60">
        <f>SUMIFS(NGT_TO!AY$173:AY$432,NGT_TO!$E$173:$E$432,$E137)</f>
        <v>1</v>
      </c>
      <c r="BA137" s="38" t="b">
        <f>INDEX(NGT_TO!AV$128:AV$172,MATCH($E137,NGT_TO!$E$128:$E$172,0))</f>
        <v>1</v>
      </c>
      <c r="BB137" s="59">
        <f>INDEX(NGT_TO!AW$128:AW$172,MATCH($E137,NGT_TO!$E$128:$E$172,0))</f>
        <v>1</v>
      </c>
      <c r="BC137" s="61" t="b">
        <f t="shared" si="4"/>
        <v>0</v>
      </c>
    </row>
    <row r="138" spans="5:55" customFormat="1" ht="16.5">
      <c r="E138" t="str">
        <f>NGT_TO!E115</f>
        <v>GT2/GT3 Crossover Adjustment</v>
      </c>
      <c r="F138" s="43" t="s">
        <v>871</v>
      </c>
      <c r="G138" s="43" t="s">
        <v>33</v>
      </c>
      <c r="H138" s="43" t="s">
        <v>922</v>
      </c>
      <c r="AT138" s="77"/>
      <c r="AU138" s="105">
        <f>SUMIFS(NGT_TO!AU$173:AU$432,NGT_TO!$E$173:$E$432,$E138)</f>
        <v>0</v>
      </c>
      <c r="AV138" s="60">
        <f>SUMIFS(NGT_TO!AV$173:AV$432,NGT_TO!$E$173:$E$432,$E138)</f>
        <v>0</v>
      </c>
      <c r="AW138" s="60">
        <f>SUMIFS(NGT_TO!AW$173:AW$432,NGT_TO!$E$173:$E$432,$E138)</f>
        <v>0</v>
      </c>
      <c r="AX138" s="60">
        <f>SUMIFS(NGT_TO!AX$173:AX$432,NGT_TO!$E$173:$E$432,$E138)</f>
        <v>0</v>
      </c>
      <c r="AY138" s="60">
        <f>SUMIFS(NGT_TO!AY$173:AY$432,NGT_TO!$E$173:$E$432,$E138)</f>
        <v>0</v>
      </c>
      <c r="BA138" s="38" t="b">
        <f>INDEX(NGT_TO!AV$128:AV$172,MATCH($E138,NGT_TO!$E$128:$E$172,0))</f>
        <v>0</v>
      </c>
      <c r="BB138" s="59">
        <f>INDEX(NGT_TO!AW$128:AW$172,MATCH($E138,NGT_TO!$E$128:$E$172,0))</f>
        <v>2</v>
      </c>
      <c r="BC138" s="61" t="b">
        <f t="shared" si="4"/>
        <v>0</v>
      </c>
    </row>
    <row r="139" spans="5:55" customFormat="1" ht="14.5">
      <c r="E139" t="str">
        <f>NGT_TO!E116</f>
        <v>Spare 1</v>
      </c>
      <c r="G139" s="43" t="s">
        <v>33</v>
      </c>
      <c r="AT139" s="77"/>
      <c r="AU139" s="105">
        <f>SUMIFS(NGT_TO!AU$173:AU$432,NGT_TO!$E$173:$E$432,$E139)</f>
        <v>0</v>
      </c>
      <c r="AV139" s="60">
        <f>SUMIFS(NGT_TO!AV$173:AV$432,NGT_TO!$E$173:$E$432,$E139)</f>
        <v>0</v>
      </c>
      <c r="AW139" s="60">
        <f>SUMIFS(NGT_TO!AW$173:AW$432,NGT_TO!$E$173:$E$432,$E139)</f>
        <v>0</v>
      </c>
      <c r="AX139" s="60">
        <f>SUMIFS(NGT_TO!AX$173:AX$432,NGT_TO!$E$173:$E$432,$E139)</f>
        <v>0</v>
      </c>
      <c r="AY139" s="60">
        <f>SUMIFS(NGT_TO!AY$173:AY$432,NGT_TO!$E$173:$E$432,$E139)</f>
        <v>0</v>
      </c>
      <c r="BA139" s="38">
        <f>INDEX(NGT_TO!AV$128:AV$172,MATCH($E139,NGT_TO!$E$128:$E$172,0))</f>
        <v>0</v>
      </c>
      <c r="BB139" s="59">
        <f>INDEX(NGT_TO!AW$128:AW$172,MATCH($E139,NGT_TO!$E$128:$E$172,0))</f>
        <v>0</v>
      </c>
      <c r="BC139" s="61" t="b">
        <f t="shared" si="4"/>
        <v>0</v>
      </c>
    </row>
    <row r="140" spans="5:55" customFormat="1" ht="14.5">
      <c r="E140" t="str">
        <f>NGT_TO!E117</f>
        <v>Spare 2</v>
      </c>
      <c r="G140" s="43" t="s">
        <v>33</v>
      </c>
      <c r="AT140" s="77"/>
      <c r="AU140" s="105">
        <f>SUMIFS(NGT_TO!AU$173:AU$432,NGT_TO!$E$173:$E$432,$E140)</f>
        <v>0</v>
      </c>
      <c r="AV140" s="60">
        <f>SUMIFS(NGT_TO!AV$173:AV$432,NGT_TO!$E$173:$E$432,$E140)</f>
        <v>0</v>
      </c>
      <c r="AW140" s="60">
        <f>SUMIFS(NGT_TO!AW$173:AW$432,NGT_TO!$E$173:$E$432,$E140)</f>
        <v>0</v>
      </c>
      <c r="AX140" s="60">
        <f>SUMIFS(NGT_TO!AX$173:AX$432,NGT_TO!$E$173:$E$432,$E140)</f>
        <v>0</v>
      </c>
      <c r="AY140" s="60">
        <f>SUMIFS(NGT_TO!AY$173:AY$432,NGT_TO!$E$173:$E$432,$E140)</f>
        <v>0</v>
      </c>
      <c r="BA140" s="38">
        <f>INDEX(NGT_TO!AV$128:AV$172,MATCH($E140,NGT_TO!$E$128:$E$172,0))</f>
        <v>0</v>
      </c>
      <c r="BB140" s="59">
        <f>INDEX(NGT_TO!AW$128:AW$172,MATCH($E140,NGT_TO!$E$128:$E$172,0))</f>
        <v>0</v>
      </c>
      <c r="BC140" s="61" t="b">
        <f t="shared" si="4"/>
        <v>0</v>
      </c>
    </row>
    <row r="141" spans="5:55" customFormat="1" ht="14.5">
      <c r="E141" t="str">
        <f>NGT_TO!E118</f>
        <v>Spare 3</v>
      </c>
      <c r="G141" s="43" t="s">
        <v>33</v>
      </c>
      <c r="AT141" s="77"/>
      <c r="AU141" s="105">
        <f>SUMIFS(NGT_TO!AU$173:AU$432,NGT_TO!$E$173:$E$432,$E141)</f>
        <v>0</v>
      </c>
      <c r="AV141" s="60">
        <f>SUMIFS(NGT_TO!AV$173:AV$432,NGT_TO!$E$173:$E$432,$E141)</f>
        <v>0</v>
      </c>
      <c r="AW141" s="60">
        <f>SUMIFS(NGT_TO!AW$173:AW$432,NGT_TO!$E$173:$E$432,$E141)</f>
        <v>0</v>
      </c>
      <c r="AX141" s="60">
        <f>SUMIFS(NGT_TO!AX$173:AX$432,NGT_TO!$E$173:$E$432,$E141)</f>
        <v>0</v>
      </c>
      <c r="AY141" s="60">
        <f>SUMIFS(NGT_TO!AY$173:AY$432,NGT_TO!$E$173:$E$432,$E141)</f>
        <v>0</v>
      </c>
      <c r="BA141" s="38">
        <f>INDEX(NGT_TO!AV$128:AV$172,MATCH($E141,NGT_TO!$E$128:$E$172,0))</f>
        <v>0</v>
      </c>
      <c r="BB141" s="59">
        <f>INDEX(NGT_TO!AW$128:AW$172,MATCH($E141,NGT_TO!$E$128:$E$172,0))</f>
        <v>0</v>
      </c>
      <c r="BC141" s="61" t="b">
        <f t="shared" si="4"/>
        <v>0</v>
      </c>
    </row>
    <row r="142" spans="5:55" customFormat="1" ht="14.5">
      <c r="E142" t="str">
        <f>NGT_TO!E119</f>
        <v>Spare 4</v>
      </c>
      <c r="G142" s="43" t="s">
        <v>33</v>
      </c>
      <c r="AT142" s="77"/>
      <c r="AU142" s="105">
        <f>SUMIFS(NGT_TO!AU$173:AU$432,NGT_TO!$E$173:$E$432,$E142)</f>
        <v>0</v>
      </c>
      <c r="AV142" s="60">
        <f>SUMIFS(NGT_TO!AV$173:AV$432,NGT_TO!$E$173:$E$432,$E142)</f>
        <v>0</v>
      </c>
      <c r="AW142" s="60">
        <f>SUMIFS(NGT_TO!AW$173:AW$432,NGT_TO!$E$173:$E$432,$E142)</f>
        <v>0</v>
      </c>
      <c r="AX142" s="60">
        <f>SUMIFS(NGT_TO!AX$173:AX$432,NGT_TO!$E$173:$E$432,$E142)</f>
        <v>0</v>
      </c>
      <c r="AY142" s="60">
        <f>SUMIFS(NGT_TO!AY$173:AY$432,NGT_TO!$E$173:$E$432,$E142)</f>
        <v>0</v>
      </c>
      <c r="BA142" s="38">
        <f>INDEX(NGT_TO!AV$128:AV$172,MATCH($E142,NGT_TO!$E$128:$E$172,0))</f>
        <v>0</v>
      </c>
      <c r="BB142" s="59">
        <f>INDEX(NGT_TO!AW$128:AW$172,MATCH($E142,NGT_TO!$E$128:$E$172,0))</f>
        <v>0</v>
      </c>
      <c r="BC142" s="61" t="b">
        <f t="shared" si="4"/>
        <v>0</v>
      </c>
    </row>
    <row r="143" spans="5:55" customFormat="1" ht="14.5">
      <c r="E143" t="str">
        <f>NGT_TO!E120</f>
        <v>Spare 5</v>
      </c>
      <c r="G143" s="43" t="s">
        <v>33</v>
      </c>
      <c r="AT143" s="77"/>
      <c r="AU143" s="105">
        <f>SUMIFS(NGT_TO!AU$173:AU$432,NGT_TO!$E$173:$E$432,$E143)</f>
        <v>0</v>
      </c>
      <c r="AV143" s="60">
        <f>SUMIFS(NGT_TO!AV$173:AV$432,NGT_TO!$E$173:$E$432,$E143)</f>
        <v>0</v>
      </c>
      <c r="AW143" s="60">
        <f>SUMIFS(NGT_TO!AW$173:AW$432,NGT_TO!$E$173:$E$432,$E143)</f>
        <v>0</v>
      </c>
      <c r="AX143" s="60">
        <f>SUMIFS(NGT_TO!AX$173:AX$432,NGT_TO!$E$173:$E$432,$E143)</f>
        <v>0</v>
      </c>
      <c r="AY143" s="60">
        <f>SUMIFS(NGT_TO!AY$173:AY$432,NGT_TO!$E$173:$E$432,$E143)</f>
        <v>0</v>
      </c>
      <c r="BA143" s="38">
        <f>INDEX(NGT_TO!AV$128:AV$172,MATCH($E143,NGT_TO!$E$128:$E$172,0))</f>
        <v>0</v>
      </c>
      <c r="BB143" s="59">
        <f>INDEX(NGT_TO!AW$128:AW$172,MATCH($E143,NGT_TO!$E$128:$E$172,0))</f>
        <v>0</v>
      </c>
      <c r="BC143" s="61" t="b">
        <f t="shared" si="4"/>
        <v>0</v>
      </c>
    </row>
    <row r="144" spans="5:55" customFormat="1" ht="14.5">
      <c r="E144" t="str">
        <f>NGT_TO!E121</f>
        <v>Spare 6</v>
      </c>
      <c r="G144" s="43" t="s">
        <v>33</v>
      </c>
      <c r="AT144" s="77"/>
      <c r="AU144" s="105">
        <f>SUMIFS(NGT_TO!AU$173:AU$432,NGT_TO!$E$173:$E$432,$E144)</f>
        <v>0</v>
      </c>
      <c r="AV144" s="60">
        <f>SUMIFS(NGT_TO!AV$173:AV$432,NGT_TO!$E$173:$E$432,$E144)</f>
        <v>0</v>
      </c>
      <c r="AW144" s="60">
        <f>SUMIFS(NGT_TO!AW$173:AW$432,NGT_TO!$E$173:$E$432,$E144)</f>
        <v>0</v>
      </c>
      <c r="AX144" s="60">
        <f>SUMIFS(NGT_TO!AX$173:AX$432,NGT_TO!$E$173:$E$432,$E144)</f>
        <v>0</v>
      </c>
      <c r="AY144" s="60">
        <f>SUMIFS(NGT_TO!AY$173:AY$432,NGT_TO!$E$173:$E$432,$E144)</f>
        <v>0</v>
      </c>
      <c r="BA144" s="38">
        <f>INDEX(NGT_TO!AV$128:AV$172,MATCH($E144,NGT_TO!$E$128:$E$172,0))</f>
        <v>0</v>
      </c>
      <c r="BB144" s="59">
        <f>INDEX(NGT_TO!AW$128:AW$172,MATCH($E144,NGT_TO!$E$128:$E$172,0))</f>
        <v>0</v>
      </c>
      <c r="BC144" s="61" t="b">
        <f t="shared" si="4"/>
        <v>0</v>
      </c>
    </row>
    <row r="145" spans="2:55" customFormat="1" ht="14.5">
      <c r="E145" t="str">
        <f>NGT_TO!E122</f>
        <v>Spare 7</v>
      </c>
      <c r="G145" s="43" t="s">
        <v>33</v>
      </c>
      <c r="AT145" s="77"/>
      <c r="AU145" s="105">
        <f>SUMIFS(NGT_TO!AU$173:AU$432,NGT_TO!$E$173:$E$432,$E145)</f>
        <v>0</v>
      </c>
      <c r="AV145" s="60">
        <f>SUMIFS(NGT_TO!AV$173:AV$432,NGT_TO!$E$173:$E$432,$E145)</f>
        <v>0</v>
      </c>
      <c r="AW145" s="60">
        <f>SUMIFS(NGT_TO!AW$173:AW$432,NGT_TO!$E$173:$E$432,$E145)</f>
        <v>0</v>
      </c>
      <c r="AX145" s="60">
        <f>SUMIFS(NGT_TO!AX$173:AX$432,NGT_TO!$E$173:$E$432,$E145)</f>
        <v>0</v>
      </c>
      <c r="AY145" s="60">
        <f>SUMIFS(NGT_TO!AY$173:AY$432,NGT_TO!$E$173:$E$432,$E145)</f>
        <v>0</v>
      </c>
      <c r="BA145" s="38">
        <f>INDEX(NGT_TO!AV$128:AV$172,MATCH($E145,NGT_TO!$E$128:$E$172,0))</f>
        <v>0</v>
      </c>
      <c r="BB145" s="59">
        <f>INDEX(NGT_TO!AW$128:AW$172,MATCH($E145,NGT_TO!$E$128:$E$172,0))</f>
        <v>0</v>
      </c>
      <c r="BC145" s="61" t="b">
        <f t="shared" si="4"/>
        <v>0</v>
      </c>
    </row>
    <row r="146" spans="2:55" customFormat="1" ht="14.5">
      <c r="E146" t="str">
        <f>NGT_TO!E123</f>
        <v>Spare 8</v>
      </c>
      <c r="G146" s="43" t="s">
        <v>33</v>
      </c>
      <c r="AT146" s="77"/>
      <c r="AU146" s="105">
        <f>SUMIFS(NGT_TO!AU$173:AU$432,NGT_TO!$E$173:$E$432,$E146)</f>
        <v>0</v>
      </c>
      <c r="AV146" s="60">
        <f>SUMIFS(NGT_TO!AV$173:AV$432,NGT_TO!$E$173:$E$432,$E146)</f>
        <v>0</v>
      </c>
      <c r="AW146" s="60">
        <f>SUMIFS(NGT_TO!AW$173:AW$432,NGT_TO!$E$173:$E$432,$E146)</f>
        <v>0</v>
      </c>
      <c r="AX146" s="60">
        <f>SUMIFS(NGT_TO!AX$173:AX$432,NGT_TO!$E$173:$E$432,$E146)</f>
        <v>0</v>
      </c>
      <c r="AY146" s="60">
        <f>SUMIFS(NGT_TO!AY$173:AY$432,NGT_TO!$E$173:$E$432,$E146)</f>
        <v>0</v>
      </c>
      <c r="BA146" s="38">
        <f>INDEX(NGT_TO!AV$128:AV$172,MATCH($E146,NGT_TO!$E$128:$E$172,0))</f>
        <v>0</v>
      </c>
      <c r="BB146" s="59">
        <f>INDEX(NGT_TO!AW$128:AW$172,MATCH($E146,NGT_TO!$E$128:$E$172,0))</f>
        <v>0</v>
      </c>
      <c r="BC146" s="61" t="b">
        <f t="shared" si="4"/>
        <v>0</v>
      </c>
    </row>
    <row r="147" spans="2:55" customFormat="1" ht="14.5">
      <c r="AT147" s="77"/>
    </row>
    <row r="148" spans="2:55" customFormat="1" ht="17.5" thickBot="1">
      <c r="B148" s="17" t="s">
        <v>618</v>
      </c>
      <c r="AT148" s="77"/>
      <c r="BA148" t="s">
        <v>511</v>
      </c>
      <c r="BB148" t="s">
        <v>512</v>
      </c>
      <c r="BC148" t="s">
        <v>603</v>
      </c>
    </row>
    <row r="149" spans="2:55" customFormat="1" ht="17" thickTop="1">
      <c r="E149" t="str">
        <f>NGT_SO!E61</f>
        <v>Cyber resilience term Price Control Deliverable</v>
      </c>
      <c r="F149" s="43" t="s">
        <v>46</v>
      </c>
      <c r="G149" s="43" t="s">
        <v>33</v>
      </c>
      <c r="H149" s="43" t="s">
        <v>891</v>
      </c>
      <c r="AT149" s="77"/>
      <c r="AU149" s="105">
        <f>SUMIFS(NGT_SO!AU$99:AU$132,NGT_SO!$E$99:$E$132,$E149)</f>
        <v>1</v>
      </c>
      <c r="AV149" s="60">
        <f>SUMIFS(NGT_SO!AV$99:AV$132,NGT_SO!$E$99:$E$132,$E149)</f>
        <v>1</v>
      </c>
      <c r="AW149" s="60">
        <f>SUMIFS(NGT_SO!AW$99:AW$132,NGT_SO!$E$99:$E$132,$E149)</f>
        <v>1</v>
      </c>
      <c r="AX149" s="60">
        <f>SUMIFS(NGT_SO!AX$99:AX$132,NGT_SO!$E$99:$E$132,$E149)</f>
        <v>1</v>
      </c>
      <c r="AY149" s="60">
        <f>SUMIFS(NGT_SO!AY$99:AY$132,NGT_SO!$E$99:$E$132,$E149)</f>
        <v>1</v>
      </c>
      <c r="BA149" s="38" t="b">
        <f>INDEX(NGT_SO!AV$81:AV$98,MATCH($E149,NGT_SO!$E$81:$E$98,0))</f>
        <v>1</v>
      </c>
      <c r="BB149" s="59" t="str">
        <f>INDEX(NGT_SO!AW$81:AW$98,MATCH($E149,NGT_SO!$E$81:$E$98,0))</f>
        <v>PCD</v>
      </c>
      <c r="BC149" s="61" t="b">
        <f t="shared" ref="BC149:BC164" si="5">AND(SUM(AU149:AY149)&lt;&gt;0,OR(BA149="",BB149=""))</f>
        <v>0</v>
      </c>
    </row>
    <row r="150" spans="2:55" customFormat="1" ht="16.5">
      <c r="E150" t="str">
        <f>NGT_SO!E62</f>
        <v>Cyber resilience Re-Opener</v>
      </c>
      <c r="F150" s="43" t="s">
        <v>46</v>
      </c>
      <c r="G150" s="43" t="s">
        <v>33</v>
      </c>
      <c r="H150" s="43" t="s">
        <v>892</v>
      </c>
      <c r="AT150" s="77"/>
      <c r="AU150" s="105">
        <f>SUMIFS(NGT_SO!AU$99:AU$132,NGT_SO!$E$99:$E$132,$E150)</f>
        <v>0</v>
      </c>
      <c r="AV150" s="60">
        <f>SUMIFS(NGT_SO!AV$99:AV$132,NGT_SO!$E$99:$E$132,$E150)</f>
        <v>0</v>
      </c>
      <c r="AW150" s="60">
        <f>SUMIFS(NGT_SO!AW$99:AW$132,NGT_SO!$E$99:$E$132,$E150)</f>
        <v>0</v>
      </c>
      <c r="AX150" s="60">
        <f>SUMIFS(NGT_SO!AX$99:AX$132,NGT_SO!$E$99:$E$132,$E150)</f>
        <v>0</v>
      </c>
      <c r="AY150" s="60">
        <f>SUMIFS(NGT_SO!AY$99:AY$132,NGT_SO!$E$99:$E$132,$E150)</f>
        <v>0</v>
      </c>
      <c r="BA150" s="38" t="b">
        <f>INDEX(NGT_SO!AV$81:AV$98,MATCH($E150,NGT_SO!$E$81:$E$98,0))</f>
        <v>0</v>
      </c>
      <c r="BB150" s="59" t="str">
        <f>INDEX(NGT_SO!AW$81:AW$98,MATCH($E150,NGT_SO!$E$81:$E$98,0))</f>
        <v>UM</v>
      </c>
      <c r="BC150" s="61" t="b">
        <f t="shared" si="5"/>
        <v>0</v>
      </c>
    </row>
    <row r="151" spans="2:55" customFormat="1" ht="16.5">
      <c r="E151" t="str">
        <f>NGT_SO!E63</f>
        <v>Cyber Use it or lose it allowance</v>
      </c>
      <c r="F151" s="43" t="s">
        <v>881</v>
      </c>
      <c r="G151" s="43" t="s">
        <v>33</v>
      </c>
      <c r="H151" s="43" t="s">
        <v>893</v>
      </c>
      <c r="AT151" s="77"/>
      <c r="AU151" s="105">
        <f>SUMIFS(NGT_SO!AU$99:AU$132,NGT_SO!$E$99:$E$132,$E151)</f>
        <v>1</v>
      </c>
      <c r="AV151" s="60">
        <f>SUMIFS(NGT_SO!AV$99:AV$132,NGT_SO!$E$99:$E$132,$E151)</f>
        <v>1</v>
      </c>
      <c r="AW151" s="60">
        <f>SUMIFS(NGT_SO!AW$99:AW$132,NGT_SO!$E$99:$E$132,$E151)</f>
        <v>1</v>
      </c>
      <c r="AX151" s="60">
        <f>SUMIFS(NGT_SO!AX$99:AX$132,NGT_SO!$E$99:$E$132,$E151)</f>
        <v>1</v>
      </c>
      <c r="AY151" s="60">
        <f>SUMIFS(NGT_SO!AY$99:AY$132,NGT_SO!$E$99:$E$132,$E151)</f>
        <v>1</v>
      </c>
      <c r="BA151" s="38" t="b">
        <f>INDEX(NGT_SO!AV$81:AV$98,MATCH($E151,NGT_SO!$E$81:$E$98,0))</f>
        <v>0</v>
      </c>
      <c r="BB151" s="59" t="str">
        <f>INDEX(NGT_SO!AW$81:AW$98,MATCH($E151,NGT_SO!$E$81:$E$98,0))</f>
        <v>PCD</v>
      </c>
      <c r="BC151" s="61" t="b">
        <f t="shared" si="5"/>
        <v>0</v>
      </c>
    </row>
    <row r="152" spans="2:55" customFormat="1" ht="16.5">
      <c r="E152" t="str">
        <f>NGT_SO!E64</f>
        <v>Decarbonisation and Environmental Policy Re-opener</v>
      </c>
      <c r="F152" s="43" t="s">
        <v>54</v>
      </c>
      <c r="G152" s="43" t="s">
        <v>33</v>
      </c>
      <c r="H152" s="43" t="s">
        <v>898</v>
      </c>
      <c r="AT152" s="77"/>
      <c r="AU152" s="105">
        <f>SUMIFS(NGT_SO!AU$99:AU$132,NGT_SO!$E$99:$E$132,$E152)</f>
        <v>0</v>
      </c>
      <c r="AV152" s="60">
        <f>SUMIFS(NGT_SO!AV$99:AV$132,NGT_SO!$E$99:$E$132,$E152)</f>
        <v>0</v>
      </c>
      <c r="AW152" s="60">
        <f>SUMIFS(NGT_SO!AW$99:AW$132,NGT_SO!$E$99:$E$132,$E152)</f>
        <v>0</v>
      </c>
      <c r="AX152" s="60">
        <f>SUMIFS(NGT_SO!AX$99:AX$132,NGT_SO!$E$99:$E$132,$E152)</f>
        <v>0</v>
      </c>
      <c r="AY152" s="60">
        <f>SUMIFS(NGT_SO!AY$99:AY$132,NGT_SO!$E$99:$E$132,$E152)</f>
        <v>0</v>
      </c>
      <c r="BA152" s="38" t="b">
        <f>INDEX(NGT_SO!AV$81:AV$98,MATCH($E152,NGT_SO!$E$81:$E$98,0))</f>
        <v>0</v>
      </c>
      <c r="BB152" s="59" t="str">
        <f>INDEX(NGT_SO!AW$81:AW$98,MATCH($E152,NGT_SO!$E$81:$E$98,0))</f>
        <v>UM</v>
      </c>
      <c r="BC152" s="61" t="b">
        <f t="shared" si="5"/>
        <v>0</v>
      </c>
    </row>
    <row r="153" spans="2:55" customFormat="1" ht="16.5">
      <c r="E153" t="str">
        <f>NGT_SO!E65</f>
        <v>Digitalisation Re-opener</v>
      </c>
      <c r="F153" s="43" t="s">
        <v>57</v>
      </c>
      <c r="G153" s="43" t="s">
        <v>33</v>
      </c>
      <c r="H153" s="43" t="s">
        <v>899</v>
      </c>
      <c r="AT153" s="77"/>
      <c r="AU153" s="105">
        <f>SUMIFS(NGT_SO!AU$99:AU$132,NGT_SO!$E$99:$E$132,$E153)</f>
        <v>0</v>
      </c>
      <c r="AV153" s="60">
        <f>SUMIFS(NGT_SO!AV$99:AV$132,NGT_SO!$E$99:$E$132,$E153)</f>
        <v>0</v>
      </c>
      <c r="AW153" s="60">
        <f>SUMIFS(NGT_SO!AW$99:AW$132,NGT_SO!$E$99:$E$132,$E153)</f>
        <v>0</v>
      </c>
      <c r="AX153" s="60">
        <f>SUMIFS(NGT_SO!AX$99:AX$132,NGT_SO!$E$99:$E$132,$E153)</f>
        <v>0</v>
      </c>
      <c r="AY153" s="60">
        <f>SUMIFS(NGT_SO!AY$99:AY$132,NGT_SO!$E$99:$E$132,$E153)</f>
        <v>0</v>
      </c>
      <c r="BA153" s="38" t="b">
        <f>INDEX(NGT_SO!AV$81:AV$98,MATCH($E153,NGT_SO!$E$81:$E$98,0))</f>
        <v>0</v>
      </c>
      <c r="BB153" s="59" t="str">
        <f>INDEX(NGT_SO!AW$81:AW$98,MATCH($E153,NGT_SO!$E$81:$E$98,0))</f>
        <v>UM</v>
      </c>
      <c r="BC153" s="61" t="b">
        <f t="shared" si="5"/>
        <v>0</v>
      </c>
    </row>
    <row r="154" spans="2:55" customFormat="1" ht="16.5">
      <c r="E154" t="str">
        <f>NGT_SO!E66</f>
        <v>Funded Incremental Obligated Capacity Price Control Deliverable</v>
      </c>
      <c r="F154" s="43" t="s">
        <v>43</v>
      </c>
      <c r="G154" s="43" t="s">
        <v>33</v>
      </c>
      <c r="H154" s="43" t="s">
        <v>903</v>
      </c>
      <c r="AT154" s="77"/>
      <c r="AU154" s="105">
        <f>SUMIFS(NGT_SO!AU$99:AU$132,NGT_SO!$E$99:$E$132,$E154)</f>
        <v>0</v>
      </c>
      <c r="AV154" s="60">
        <f>SUMIFS(NGT_SO!AV$99:AV$132,NGT_SO!$E$99:$E$132,$E154)</f>
        <v>0</v>
      </c>
      <c r="AW154" s="60">
        <f>SUMIFS(NGT_SO!AW$99:AW$132,NGT_SO!$E$99:$E$132,$E154)</f>
        <v>0</v>
      </c>
      <c r="AX154" s="60">
        <f>SUMIFS(NGT_SO!AX$99:AX$132,NGT_SO!$E$99:$E$132,$E154)</f>
        <v>0</v>
      </c>
      <c r="AY154" s="60">
        <f>SUMIFS(NGT_SO!AY$99:AY$132,NGT_SO!$E$99:$E$132,$E154)</f>
        <v>0</v>
      </c>
      <c r="BA154" s="38" t="b">
        <f>INDEX(NGT_SO!AV$81:AV$98,MATCH($E154,NGT_SO!$E$81:$E$98,0))</f>
        <v>1</v>
      </c>
      <c r="BB154" s="59" t="str">
        <f>INDEX(NGT_SO!AW$81:AW$98,MATCH($E154,NGT_SO!$E$81:$E$98,0))</f>
        <v>PCD</v>
      </c>
      <c r="BC154" s="61" t="b">
        <f t="shared" si="5"/>
        <v>0</v>
      </c>
    </row>
    <row r="155" spans="2:55" customFormat="1" ht="16.5">
      <c r="E155" t="str">
        <f>NGT_SO!E67</f>
        <v>Funded Incremental Obligated Capacity Price Control Deliverable -Re-Opener Element</v>
      </c>
      <c r="F155" s="43" t="s">
        <v>43</v>
      </c>
      <c r="G155" s="43" t="s">
        <v>33</v>
      </c>
      <c r="H155" s="43" t="s">
        <v>904</v>
      </c>
      <c r="AT155" s="77"/>
      <c r="AU155" s="105">
        <f>SUMIFS(NGT_SO!AU$99:AU$132,NGT_SO!$E$99:$E$132,$E155)</f>
        <v>0</v>
      </c>
      <c r="AV155" s="60">
        <f>SUMIFS(NGT_SO!AV$99:AV$132,NGT_SO!$E$99:$E$132,$E155)</f>
        <v>0</v>
      </c>
      <c r="AW155" s="60">
        <f>SUMIFS(NGT_SO!AW$99:AW$132,NGT_SO!$E$99:$E$132,$E155)</f>
        <v>0</v>
      </c>
      <c r="AX155" s="60">
        <f>SUMIFS(NGT_SO!AX$99:AX$132,NGT_SO!$E$99:$E$132,$E155)</f>
        <v>0</v>
      </c>
      <c r="AY155" s="60">
        <f>SUMIFS(NGT_SO!AY$99:AY$132,NGT_SO!$E$99:$E$132,$E155)</f>
        <v>0</v>
      </c>
      <c r="BA155" s="38" t="b">
        <f>INDEX(NGT_SO!AV$81:AV$98,MATCH($E155,NGT_SO!$E$81:$E$98,0))</f>
        <v>1</v>
      </c>
      <c r="BB155" s="59" t="str">
        <f>INDEX(NGT_SO!AW$81:AW$98,MATCH($E155,NGT_SO!$E$81:$E$98,0))</f>
        <v>UM</v>
      </c>
      <c r="BC155" s="61" t="b">
        <f t="shared" si="5"/>
        <v>0</v>
      </c>
    </row>
    <row r="156" spans="2:55" customFormat="1" ht="16.5">
      <c r="E156" t="str">
        <f>NGT_SO!E68</f>
        <v xml:space="preserve">Office, gas national control centre and emergency control room relocation Re-opener </v>
      </c>
      <c r="F156" s="43" t="s">
        <v>864</v>
      </c>
      <c r="G156" s="43" t="s">
        <v>33</v>
      </c>
      <c r="H156" s="43" t="s">
        <v>914</v>
      </c>
      <c r="AT156" s="77"/>
      <c r="AU156" s="105">
        <f>SUMIFS(NGT_SO!AU$99:AU$132,NGT_SO!$E$99:$E$132,$E156)</f>
        <v>1</v>
      </c>
      <c r="AV156" s="60">
        <f>SUMIFS(NGT_SO!AV$99:AV$132,NGT_SO!$E$99:$E$132,$E156)</f>
        <v>1</v>
      </c>
      <c r="AW156" s="60">
        <f>SUMIFS(NGT_SO!AW$99:AW$132,NGT_SO!$E$99:$E$132,$E156)</f>
        <v>0.99999999999999989</v>
      </c>
      <c r="AX156" s="60">
        <f>SUMIFS(NGT_SO!AX$99:AX$132,NGT_SO!$E$99:$E$132,$E156)</f>
        <v>1</v>
      </c>
      <c r="AY156" s="60">
        <f>SUMIFS(NGT_SO!AY$99:AY$132,NGT_SO!$E$99:$E$132,$E156)</f>
        <v>1</v>
      </c>
      <c r="BA156" s="38" t="b">
        <f>INDEX(NGT_SO!AV$81:AV$98,MATCH($E156,NGT_SO!$E$81:$E$98,0))</f>
        <v>0</v>
      </c>
      <c r="BB156" s="59" t="str">
        <f>INDEX(NGT_SO!AW$81:AW$98,MATCH($E156,NGT_SO!$E$81:$E$98,0))</f>
        <v>UM</v>
      </c>
      <c r="BC156" s="61" t="b">
        <f t="shared" si="5"/>
        <v>0</v>
      </c>
    </row>
    <row r="157" spans="2:55" customFormat="1" ht="16.5">
      <c r="E157" t="str">
        <f>NGT_SO!E69</f>
        <v>Network decarbonisation and emissions compliance Re-opener</v>
      </c>
      <c r="F157" s="43" t="s">
        <v>866</v>
      </c>
      <c r="G157" s="43" t="s">
        <v>33</v>
      </c>
      <c r="H157" s="43" t="s">
        <v>917</v>
      </c>
      <c r="AT157" s="77"/>
      <c r="AU157" s="105">
        <f>SUMIFS(NGT_SO!AU$99:AU$132,NGT_SO!$E$99:$E$132,$E157)</f>
        <v>0</v>
      </c>
      <c r="AV157" s="60">
        <f>SUMIFS(NGT_SO!AV$99:AV$132,NGT_SO!$E$99:$E$132,$E157)</f>
        <v>0</v>
      </c>
      <c r="AW157" s="60">
        <f>SUMIFS(NGT_SO!AW$99:AW$132,NGT_SO!$E$99:$E$132,$E157)</f>
        <v>0</v>
      </c>
      <c r="AX157" s="60">
        <f>SUMIFS(NGT_SO!AX$99:AX$132,NGT_SO!$E$99:$E$132,$E157)</f>
        <v>0</v>
      </c>
      <c r="AY157" s="60">
        <f>SUMIFS(NGT_SO!AY$99:AY$132,NGT_SO!$E$99:$E$132,$E157)</f>
        <v>0</v>
      </c>
      <c r="BA157" s="38" t="b">
        <f>INDEX(NGT_SO!AV$81:AV$98,MATCH($E157,NGT_SO!$E$81:$E$98,0))</f>
        <v>0</v>
      </c>
      <c r="BB157" s="59" t="str">
        <f>INDEX(NGT_SO!AW$81:AW$98,MATCH($E157,NGT_SO!$E$81:$E$98,0))</f>
        <v>UM</v>
      </c>
      <c r="BC157" s="61" t="b">
        <f t="shared" si="5"/>
        <v>0</v>
      </c>
    </row>
    <row r="158" spans="2:55" customFormat="1" ht="14.5">
      <c r="E158" t="str">
        <f>NGT_SO!E70</f>
        <v>Spare 1</v>
      </c>
      <c r="F158" s="43"/>
      <c r="G158" s="43" t="s">
        <v>33</v>
      </c>
      <c r="H158" s="43"/>
      <c r="AT158" s="77"/>
      <c r="AU158" s="105">
        <f>SUMIFS(NGT_SO!AU$99:AU$132,NGT_SO!$E$99:$E$132,$E158)</f>
        <v>0</v>
      </c>
      <c r="AV158" s="60">
        <f>SUMIFS(NGT_SO!AV$99:AV$132,NGT_SO!$E$99:$E$132,$E158)</f>
        <v>0</v>
      </c>
      <c r="AW158" s="60">
        <f>SUMIFS(NGT_SO!AW$99:AW$132,NGT_SO!$E$99:$E$132,$E158)</f>
        <v>0</v>
      </c>
      <c r="AX158" s="60">
        <f>SUMIFS(NGT_SO!AX$99:AX$132,NGT_SO!$E$99:$E$132,$E158)</f>
        <v>0</v>
      </c>
      <c r="AY158" s="60">
        <f>SUMIFS(NGT_SO!AY$99:AY$132,NGT_SO!$E$99:$E$132,$E158)</f>
        <v>0</v>
      </c>
      <c r="BA158" s="38">
        <f>INDEX(NGT_SO!AV$81:AV$98,MATCH($E158,NGT_SO!$E$81:$E$98,0))</f>
        <v>0</v>
      </c>
      <c r="BB158" s="59">
        <f>INDEX(NGT_SO!AW$81:AW$98,MATCH($E158,NGT_SO!$E$81:$E$98,0))</f>
        <v>0</v>
      </c>
      <c r="BC158" s="61" t="b">
        <f t="shared" si="5"/>
        <v>0</v>
      </c>
    </row>
    <row r="159" spans="2:55" customFormat="1" ht="14.5">
      <c r="E159" t="str">
        <f>NGT_SO!E71</f>
        <v>Spare 2</v>
      </c>
      <c r="F159" s="43"/>
      <c r="G159" s="43" t="s">
        <v>33</v>
      </c>
      <c r="H159" s="43"/>
      <c r="AT159" s="77"/>
      <c r="AU159" s="105">
        <f>SUMIFS(NGT_SO!AU$99:AU$132,NGT_SO!$E$99:$E$132,$E159)</f>
        <v>0</v>
      </c>
      <c r="AV159" s="60">
        <f>SUMIFS(NGT_SO!AV$99:AV$132,NGT_SO!$E$99:$E$132,$E159)</f>
        <v>0</v>
      </c>
      <c r="AW159" s="60">
        <f>SUMIFS(NGT_SO!AW$99:AW$132,NGT_SO!$E$99:$E$132,$E159)</f>
        <v>0</v>
      </c>
      <c r="AX159" s="60">
        <f>SUMIFS(NGT_SO!AX$99:AX$132,NGT_SO!$E$99:$E$132,$E159)</f>
        <v>0</v>
      </c>
      <c r="AY159" s="60">
        <f>SUMIFS(NGT_SO!AY$99:AY$132,NGT_SO!$E$99:$E$132,$E159)</f>
        <v>0</v>
      </c>
      <c r="BA159" s="38">
        <f>INDEX(NGT_SO!AV$81:AV$98,MATCH($E159,NGT_SO!$E$81:$E$98,0))</f>
        <v>0</v>
      </c>
      <c r="BB159" s="59">
        <f>INDEX(NGT_SO!AW$81:AW$98,MATCH($E159,NGT_SO!$E$81:$E$98,0))</f>
        <v>0</v>
      </c>
      <c r="BC159" s="61" t="b">
        <f t="shared" si="5"/>
        <v>0</v>
      </c>
    </row>
    <row r="160" spans="2:55" customFormat="1" ht="14.5">
      <c r="E160" t="str">
        <f>NGT_SO!E72</f>
        <v>Spare 3</v>
      </c>
      <c r="F160" s="43"/>
      <c r="G160" s="43" t="s">
        <v>33</v>
      </c>
      <c r="H160" s="43"/>
      <c r="AT160" s="77"/>
      <c r="AU160" s="105">
        <f>SUMIFS(NGT_SO!AU$99:AU$132,NGT_SO!$E$99:$E$132,$E160)</f>
        <v>0</v>
      </c>
      <c r="AV160" s="60">
        <f>SUMIFS(NGT_SO!AV$99:AV$132,NGT_SO!$E$99:$E$132,$E160)</f>
        <v>0</v>
      </c>
      <c r="AW160" s="60">
        <f>SUMIFS(NGT_SO!AW$99:AW$132,NGT_SO!$E$99:$E$132,$E160)</f>
        <v>0</v>
      </c>
      <c r="AX160" s="60">
        <f>SUMIFS(NGT_SO!AX$99:AX$132,NGT_SO!$E$99:$E$132,$E160)</f>
        <v>0</v>
      </c>
      <c r="AY160" s="60">
        <f>SUMIFS(NGT_SO!AY$99:AY$132,NGT_SO!$E$99:$E$132,$E160)</f>
        <v>0</v>
      </c>
      <c r="BA160" s="38">
        <f>INDEX(NGT_SO!AV$81:AV$98,MATCH($E160,NGT_SO!$E$81:$E$98,0))</f>
        <v>0</v>
      </c>
      <c r="BB160" s="59">
        <f>INDEX(NGT_SO!AW$81:AW$98,MATCH($E160,NGT_SO!$E$81:$E$98,0))</f>
        <v>0</v>
      </c>
      <c r="BC160" s="61" t="b">
        <f t="shared" si="5"/>
        <v>0</v>
      </c>
    </row>
    <row r="161" spans="1:58" customFormat="1" ht="14.5">
      <c r="E161" t="str">
        <f>NGT_SO!E73</f>
        <v>Spare 4</v>
      </c>
      <c r="F161" s="43"/>
      <c r="G161" s="43" t="s">
        <v>33</v>
      </c>
      <c r="H161" s="43"/>
      <c r="AT161" s="77"/>
      <c r="AU161" s="105">
        <f>SUMIFS(NGT_SO!AU$99:AU$132,NGT_SO!$E$99:$E$132,$E161)</f>
        <v>0</v>
      </c>
      <c r="AV161" s="60">
        <f>SUMIFS(NGT_SO!AV$99:AV$132,NGT_SO!$E$99:$E$132,$E161)</f>
        <v>0</v>
      </c>
      <c r="AW161" s="60">
        <f>SUMIFS(NGT_SO!AW$99:AW$132,NGT_SO!$E$99:$E$132,$E161)</f>
        <v>0</v>
      </c>
      <c r="AX161" s="60">
        <f>SUMIFS(NGT_SO!AX$99:AX$132,NGT_SO!$E$99:$E$132,$E161)</f>
        <v>0</v>
      </c>
      <c r="AY161" s="60">
        <f>SUMIFS(NGT_SO!AY$99:AY$132,NGT_SO!$E$99:$E$132,$E161)</f>
        <v>0</v>
      </c>
      <c r="BA161" s="38">
        <f>INDEX(NGT_SO!AV$81:AV$98,MATCH($E161,NGT_SO!$E$81:$E$98,0))</f>
        <v>0</v>
      </c>
      <c r="BB161" s="59">
        <f>INDEX(NGT_SO!AW$81:AW$98,MATCH($E161,NGT_SO!$E$81:$E$98,0))</f>
        <v>0</v>
      </c>
      <c r="BC161" s="61" t="b">
        <f t="shared" si="5"/>
        <v>0</v>
      </c>
    </row>
    <row r="162" spans="1:58" customFormat="1" ht="14.5">
      <c r="E162" t="str">
        <f>NGT_SO!E74</f>
        <v>Spare 5</v>
      </c>
      <c r="F162" s="43"/>
      <c r="G162" s="43" t="s">
        <v>33</v>
      </c>
      <c r="H162" s="43"/>
      <c r="AT162" s="77"/>
      <c r="AU162" s="105">
        <f>SUMIFS(NGT_SO!AU$99:AU$132,NGT_SO!$E$99:$E$132,$E162)</f>
        <v>0</v>
      </c>
      <c r="AV162" s="60">
        <f>SUMIFS(NGT_SO!AV$99:AV$132,NGT_SO!$E$99:$E$132,$E162)</f>
        <v>0</v>
      </c>
      <c r="AW162" s="60">
        <f>SUMIFS(NGT_SO!AW$99:AW$132,NGT_SO!$E$99:$E$132,$E162)</f>
        <v>0</v>
      </c>
      <c r="AX162" s="60">
        <f>SUMIFS(NGT_SO!AX$99:AX$132,NGT_SO!$E$99:$E$132,$E162)</f>
        <v>0</v>
      </c>
      <c r="AY162" s="60">
        <f>SUMIFS(NGT_SO!AY$99:AY$132,NGT_SO!$E$99:$E$132,$E162)</f>
        <v>0</v>
      </c>
      <c r="BA162" s="38">
        <f>INDEX(NGT_SO!AV$81:AV$98,MATCH($E162,NGT_SO!$E$81:$E$98,0))</f>
        <v>0</v>
      </c>
      <c r="BB162" s="59">
        <f>INDEX(NGT_SO!AW$81:AW$98,MATCH($E162,NGT_SO!$E$81:$E$98,0))</f>
        <v>0</v>
      </c>
      <c r="BC162" s="61" t="b">
        <f t="shared" si="5"/>
        <v>0</v>
      </c>
    </row>
    <row r="163" spans="1:58" customFormat="1" ht="14.5">
      <c r="E163" t="str">
        <f>NGT_SO!E75</f>
        <v>Spare 6</v>
      </c>
      <c r="F163" s="43"/>
      <c r="G163" s="43" t="s">
        <v>33</v>
      </c>
      <c r="H163" s="43"/>
      <c r="AT163" s="77"/>
      <c r="AU163" s="105">
        <f>SUMIFS(NGT_SO!AU$99:AU$132,NGT_SO!$E$99:$E$132,$E163)</f>
        <v>0</v>
      </c>
      <c r="AV163" s="60">
        <f>SUMIFS(NGT_SO!AV$99:AV$132,NGT_SO!$E$99:$E$132,$E163)</f>
        <v>0</v>
      </c>
      <c r="AW163" s="60">
        <f>SUMIFS(NGT_SO!AW$99:AW$132,NGT_SO!$E$99:$E$132,$E163)</f>
        <v>0</v>
      </c>
      <c r="AX163" s="60">
        <f>SUMIFS(NGT_SO!AX$99:AX$132,NGT_SO!$E$99:$E$132,$E163)</f>
        <v>0</v>
      </c>
      <c r="AY163" s="60">
        <f>SUMIFS(NGT_SO!AY$99:AY$132,NGT_SO!$E$99:$E$132,$E163)</f>
        <v>0</v>
      </c>
      <c r="BA163" s="38">
        <f>INDEX(NGT_SO!AV$81:AV$98,MATCH($E163,NGT_SO!$E$81:$E$98,0))</f>
        <v>0</v>
      </c>
      <c r="BB163" s="59">
        <f>INDEX(NGT_SO!AW$81:AW$98,MATCH($E163,NGT_SO!$E$81:$E$98,0))</f>
        <v>0</v>
      </c>
      <c r="BC163" s="61" t="b">
        <f t="shared" si="5"/>
        <v>0</v>
      </c>
    </row>
    <row r="164" spans="1:58" customFormat="1" ht="14.5">
      <c r="E164" t="str">
        <f>NGT_SO!E76</f>
        <v>Spare 7</v>
      </c>
      <c r="F164" s="43"/>
      <c r="G164" s="43" t="s">
        <v>33</v>
      </c>
      <c r="H164" s="43"/>
      <c r="AT164" s="77"/>
      <c r="AU164" s="105">
        <f>SUMIFS(NGT_SO!AU$99:AU$132,NGT_SO!$E$99:$E$132,$E164)</f>
        <v>0</v>
      </c>
      <c r="AV164" s="60">
        <f>SUMIFS(NGT_SO!AV$99:AV$132,NGT_SO!$E$99:$E$132,$E164)</f>
        <v>0</v>
      </c>
      <c r="AW164" s="60">
        <f>SUMIFS(NGT_SO!AW$99:AW$132,NGT_SO!$E$99:$E$132,$E164)</f>
        <v>0</v>
      </c>
      <c r="AX164" s="60">
        <f>SUMIFS(NGT_SO!AX$99:AX$132,NGT_SO!$E$99:$E$132,$E164)</f>
        <v>0</v>
      </c>
      <c r="AY164" s="60">
        <f>SUMIFS(NGT_SO!AY$99:AY$132,NGT_SO!$E$99:$E$132,$E164)</f>
        <v>0</v>
      </c>
      <c r="BA164" s="38">
        <f>INDEX(NGT_SO!AV$81:AV$98,MATCH($E164,NGT_SO!$E$81:$E$98,0))</f>
        <v>0</v>
      </c>
      <c r="BB164" s="59">
        <f>INDEX(NGT_SO!AW$81:AW$98,MATCH($E164,NGT_SO!$E$81:$E$98,0))</f>
        <v>0</v>
      </c>
      <c r="BC164" s="61" t="b">
        <f t="shared" si="5"/>
        <v>0</v>
      </c>
    </row>
    <row r="165" spans="1:58" customFormat="1" ht="14.5">
      <c r="AT165" s="77"/>
    </row>
    <row r="166" spans="1:58" ht="20" thickBot="1">
      <c r="A166" s="20" t="s">
        <v>111</v>
      </c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F166" s="13"/>
      <c r="AG166" s="13"/>
      <c r="AH166" s="13"/>
      <c r="AI166" s="13"/>
      <c r="AJ166" s="13"/>
      <c r="AK166" s="13"/>
      <c r="AL166" s="13"/>
      <c r="AM166" s="13"/>
      <c r="AN166" s="13"/>
      <c r="AO166" s="13"/>
      <c r="AP166" s="13"/>
      <c r="AQ166" s="13"/>
      <c r="AR166" s="13"/>
      <c r="AS166" s="13"/>
      <c r="AU166" s="13"/>
      <c r="AV166" s="13"/>
      <c r="AW166" s="13"/>
      <c r="AX166" s="13"/>
      <c r="AY166" s="13"/>
      <c r="AZ166" s="13"/>
      <c r="BA166" s="18"/>
      <c r="BB166" s="13"/>
      <c r="BC166" s="13"/>
      <c r="BF166" s="8"/>
    </row>
    <row r="167" spans="1:58" customFormat="1" ht="15" thickTop="1">
      <c r="AT167" s="77"/>
    </row>
    <row r="168" spans="1:58" customFormat="1" ht="14.5">
      <c r="AT168" s="77"/>
    </row>
    <row r="169" spans="1:58" customFormat="1" ht="14.5" hidden="1">
      <c r="AT169" s="77"/>
    </row>
    <row r="170" spans="1:58" customFormat="1" ht="14.5" hidden="1">
      <c r="AT170" s="77"/>
    </row>
    <row r="171" spans="1:58" customFormat="1" ht="14.5" hidden="1">
      <c r="AT171" s="77"/>
    </row>
    <row r="172" spans="1:58" customFormat="1" ht="14.5" hidden="1">
      <c r="AT172" s="77"/>
    </row>
    <row r="173" spans="1:58" customFormat="1" ht="14.5" hidden="1">
      <c r="AT173" s="77"/>
    </row>
    <row r="174" spans="1:58" customFormat="1" ht="14.5" hidden="1">
      <c r="AT174" s="77"/>
    </row>
    <row r="175" spans="1:58" customFormat="1" ht="14.5" hidden="1">
      <c r="AT175" s="77"/>
    </row>
    <row r="176" spans="1:58" customFormat="1" ht="14.5" hidden="1">
      <c r="AT176" s="77"/>
    </row>
    <row r="177" spans="46:46" customFormat="1" ht="14.5" hidden="1">
      <c r="AT177" s="77"/>
    </row>
    <row r="178" spans="46:46" customFormat="1" ht="14.5" hidden="1">
      <c r="AT178" s="77"/>
    </row>
    <row r="179" spans="46:46" customFormat="1" ht="14.5" hidden="1">
      <c r="AT179" s="77"/>
    </row>
    <row r="180" spans="46:46" customFormat="1" ht="14.5" hidden="1">
      <c r="AT180" s="77"/>
    </row>
    <row r="181" spans="46:46" customFormat="1" ht="14.5" hidden="1">
      <c r="AT181" s="77"/>
    </row>
    <row r="182" spans="46:46" customFormat="1" ht="14.5" hidden="1">
      <c r="AT182" s="77"/>
    </row>
    <row r="183" spans="46:46" customFormat="1" ht="14.5" hidden="1">
      <c r="AT183" s="77"/>
    </row>
    <row r="184" spans="46:46" customFormat="1" ht="14.5" hidden="1">
      <c r="AT184" s="77"/>
    </row>
    <row r="185" spans="46:46" customFormat="1" ht="14.5" hidden="1">
      <c r="AT185" s="77"/>
    </row>
    <row r="186" spans="46:46" customFormat="1" ht="14.5" hidden="1">
      <c r="AT186" s="77"/>
    </row>
    <row r="187" spans="46:46" customFormat="1" ht="14.5" hidden="1">
      <c r="AT187" s="77"/>
    </row>
    <row r="188" spans="46:46" customFormat="1" ht="14.5" hidden="1">
      <c r="AT188" s="77"/>
    </row>
    <row r="189" spans="46:46" customFormat="1" ht="14.5" hidden="1">
      <c r="AT189" s="77"/>
    </row>
    <row r="190" spans="46:46" customFormat="1" ht="14.5" hidden="1">
      <c r="AT190" s="77"/>
    </row>
    <row r="191" spans="46:46" customFormat="1" ht="14.5" hidden="1">
      <c r="AT191" s="77"/>
    </row>
    <row r="192" spans="46:46" customFormat="1" ht="14.5" hidden="1">
      <c r="AT192" s="77"/>
    </row>
    <row r="193" spans="46:46" customFormat="1" ht="14.5" hidden="1">
      <c r="AT193" s="77"/>
    </row>
    <row r="194" spans="46:46" customFormat="1" ht="14.5" hidden="1">
      <c r="AT194" s="77"/>
    </row>
    <row r="195" spans="46:46" customFormat="1" ht="14.5" hidden="1">
      <c r="AT195" s="77"/>
    </row>
    <row r="196" spans="46:46" customFormat="1" ht="14.5" hidden="1">
      <c r="AT196" s="77"/>
    </row>
    <row r="197" spans="46:46" customFormat="1" ht="14.5" hidden="1">
      <c r="AT197" s="77"/>
    </row>
    <row r="198" spans="46:46" customFormat="1" ht="14.5" hidden="1">
      <c r="AT198" s="77"/>
    </row>
    <row r="199" spans="46:46" customFormat="1" ht="14.5" hidden="1">
      <c r="AT199" s="77"/>
    </row>
    <row r="200" spans="46:46" customFormat="1" ht="14.5" hidden="1">
      <c r="AT200" s="77"/>
    </row>
    <row r="201" spans="46:46" customFormat="1" ht="14.5" hidden="1">
      <c r="AT201" s="77"/>
    </row>
    <row r="202" spans="46:46" customFormat="1" ht="14.5" hidden="1">
      <c r="AT202" s="77"/>
    </row>
    <row r="203" spans="46:46" customFormat="1" ht="14.5" hidden="1">
      <c r="AT203" s="77"/>
    </row>
    <row r="204" spans="46:46" customFormat="1" ht="14.5" hidden="1">
      <c r="AT204" s="77"/>
    </row>
    <row r="205" spans="46:46" customFormat="1" ht="14.5" hidden="1">
      <c r="AT205" s="77"/>
    </row>
    <row r="206" spans="46:46" customFormat="1" ht="14.5" hidden="1">
      <c r="AT206" s="77"/>
    </row>
    <row r="207" spans="46:46" customFormat="1" ht="14.5" hidden="1">
      <c r="AT207" s="77"/>
    </row>
    <row r="208" spans="46:46" customFormat="1" ht="14.5" hidden="1">
      <c r="AT208" s="77"/>
    </row>
    <row r="209" spans="46:46" customFormat="1" ht="14.5" hidden="1">
      <c r="AT209" s="77"/>
    </row>
    <row r="210" spans="46:46" customFormat="1" ht="14.5" hidden="1">
      <c r="AT210" s="77"/>
    </row>
    <row r="211" spans="46:46" customFormat="1" ht="14.5" hidden="1">
      <c r="AT211" s="77"/>
    </row>
    <row r="212" spans="46:46" customFormat="1" ht="14.5" hidden="1">
      <c r="AT212" s="77"/>
    </row>
    <row r="213" spans="46:46" customFormat="1" ht="14.5" hidden="1">
      <c r="AT213" s="77"/>
    </row>
    <row r="214" spans="46:46" customFormat="1" ht="14.5" hidden="1">
      <c r="AT214" s="77"/>
    </row>
    <row r="215" spans="46:46" customFormat="1" ht="14.5" hidden="1">
      <c r="AT215" s="77"/>
    </row>
    <row r="216" spans="46:46" customFormat="1" ht="14.5" hidden="1">
      <c r="AT216" s="77"/>
    </row>
    <row r="217" spans="46:46" customFormat="1" ht="14.5" hidden="1">
      <c r="AT217" s="77"/>
    </row>
    <row r="218" spans="46:46" customFormat="1" ht="14.5" hidden="1">
      <c r="AT218" s="77"/>
    </row>
    <row r="219" spans="46:46" customFormat="1" ht="14.5" hidden="1">
      <c r="AT219" s="77"/>
    </row>
    <row r="220" spans="46:46" customFormat="1" ht="14.5" hidden="1">
      <c r="AT220" s="77"/>
    </row>
    <row r="221" spans="46:46" customFormat="1" ht="14.5" hidden="1">
      <c r="AT221" s="77"/>
    </row>
    <row r="222" spans="46:46" customFormat="1" ht="14.5" hidden="1">
      <c r="AT222" s="77"/>
    </row>
    <row r="223" spans="46:46" customFormat="1" ht="14.5" hidden="1">
      <c r="AT223" s="77"/>
    </row>
    <row r="224" spans="46:46" customFormat="1" ht="14.5" hidden="1">
      <c r="AT224" s="77"/>
    </row>
    <row r="225" spans="46:46" customFormat="1" ht="14.5" hidden="1">
      <c r="AT225" s="77"/>
    </row>
    <row r="226" spans="46:46" customFormat="1" ht="14.5" hidden="1">
      <c r="AT226" s="77"/>
    </row>
    <row r="227" spans="46:46" customFormat="1" ht="14.5" hidden="1">
      <c r="AT227" s="77"/>
    </row>
    <row r="228" spans="46:46" customFormat="1" ht="14.5" hidden="1">
      <c r="AT228" s="77"/>
    </row>
    <row r="229" spans="46:46" customFormat="1" ht="14.5" hidden="1">
      <c r="AT229" s="77"/>
    </row>
    <row r="230" spans="46:46" customFormat="1" ht="14.5" hidden="1">
      <c r="AT230" s="77"/>
    </row>
    <row r="231" spans="46:46" customFormat="1" ht="14.5" hidden="1">
      <c r="AT231" s="77"/>
    </row>
    <row r="232" spans="46:46" customFormat="1" ht="14.5" hidden="1">
      <c r="AT232" s="77"/>
    </row>
    <row r="233" spans="46:46" customFormat="1" ht="14.5" hidden="1">
      <c r="AT233" s="77"/>
    </row>
    <row r="234" spans="46:46" customFormat="1" ht="14.5" hidden="1">
      <c r="AT234" s="77"/>
    </row>
    <row r="235" spans="46:46" customFormat="1" ht="14.5" hidden="1">
      <c r="AT235" s="77"/>
    </row>
    <row r="236" spans="46:46" customFormat="1" ht="14.5" hidden="1">
      <c r="AT236" s="77"/>
    </row>
    <row r="237" spans="46:46" customFormat="1" ht="14.5" hidden="1">
      <c r="AT237" s="77"/>
    </row>
    <row r="238" spans="46:46" customFormat="1" ht="14.5" hidden="1">
      <c r="AT238" s="77"/>
    </row>
    <row r="239" spans="46:46" customFormat="1" ht="14.5" hidden="1">
      <c r="AT239" s="77"/>
    </row>
    <row r="240" spans="46:46" customFormat="1" ht="14.5" hidden="1">
      <c r="AT240" s="77"/>
    </row>
    <row r="241" spans="46:46" customFormat="1" ht="14.5" hidden="1">
      <c r="AT241" s="77"/>
    </row>
    <row r="242" spans="46:46" customFormat="1" ht="14.5" hidden="1">
      <c r="AT242" s="77"/>
    </row>
    <row r="243" spans="46:46" customFormat="1" ht="14.5" hidden="1">
      <c r="AT243" s="77"/>
    </row>
    <row r="244" spans="46:46" customFormat="1" ht="14.5" hidden="1">
      <c r="AT244" s="77"/>
    </row>
    <row r="245" spans="46:46" customFormat="1" ht="14.5" hidden="1">
      <c r="AT245" s="77"/>
    </row>
    <row r="246" spans="46:46" customFormat="1" ht="14.5" hidden="1">
      <c r="AT246" s="77"/>
    </row>
    <row r="247" spans="46:46" customFormat="1" ht="14.5" hidden="1">
      <c r="AT247" s="77"/>
    </row>
    <row r="248" spans="46:46" customFormat="1" ht="14.5" hidden="1">
      <c r="AT248" s="77"/>
    </row>
    <row r="249" spans="46:46" customFormat="1" ht="14.5" hidden="1">
      <c r="AT249" s="77"/>
    </row>
    <row r="250" spans="46:46" customFormat="1" ht="14.5" hidden="1">
      <c r="AT250" s="77"/>
    </row>
    <row r="251" spans="46:46" customFormat="1" ht="14.5" hidden="1">
      <c r="AT251" s="77"/>
    </row>
    <row r="252" spans="46:46" customFormat="1" ht="14.5" hidden="1">
      <c r="AT252" s="77"/>
    </row>
    <row r="253" spans="46:46" customFormat="1" ht="14.5" hidden="1">
      <c r="AT253" s="77"/>
    </row>
    <row r="254" spans="46:46" customFormat="1" ht="14.5" hidden="1">
      <c r="AT254" s="77"/>
    </row>
    <row r="255" spans="46:46" customFormat="1" ht="14.5" hidden="1">
      <c r="AT255" s="77"/>
    </row>
    <row r="256" spans="46:46" customFormat="1" ht="14.5" hidden="1">
      <c r="AT256" s="77"/>
    </row>
    <row r="257" spans="46:46" customFormat="1" ht="14.5" hidden="1">
      <c r="AT257" s="77"/>
    </row>
    <row r="258" spans="46:46" customFormat="1" ht="14.5" hidden="1">
      <c r="AT258" s="77"/>
    </row>
    <row r="259" spans="46:46" customFormat="1" ht="14.5" hidden="1">
      <c r="AT259" s="77"/>
    </row>
    <row r="260" spans="46:46" customFormat="1" ht="14.5" hidden="1">
      <c r="AT260" s="77"/>
    </row>
    <row r="261" spans="46:46" customFormat="1" ht="14.5" hidden="1">
      <c r="AT261" s="77"/>
    </row>
    <row r="262" spans="46:46" customFormat="1" ht="14.5" hidden="1">
      <c r="AT262" s="77"/>
    </row>
    <row r="263" spans="46:46" customFormat="1" ht="14.5" hidden="1">
      <c r="AT263" s="77"/>
    </row>
    <row r="264" spans="46:46" customFormat="1" ht="14.5" hidden="1">
      <c r="AT264" s="77"/>
    </row>
    <row r="265" spans="46:46" customFormat="1" ht="14.5" hidden="1">
      <c r="AT265" s="77"/>
    </row>
    <row r="266" spans="46:46" customFormat="1" ht="14.5" hidden="1">
      <c r="AT266" s="77"/>
    </row>
    <row r="267" spans="46:46" customFormat="1" ht="14.5" hidden="1">
      <c r="AT267" s="77"/>
    </row>
    <row r="268" spans="46:46" customFormat="1" ht="14.5" hidden="1">
      <c r="AT268" s="77"/>
    </row>
    <row r="269" spans="46:46" customFormat="1" ht="14.5" hidden="1">
      <c r="AT269" s="77"/>
    </row>
    <row r="270" spans="46:46" customFormat="1" ht="14.5" hidden="1">
      <c r="AT270" s="77"/>
    </row>
    <row r="271" spans="46:46" customFormat="1" ht="14.5" hidden="1">
      <c r="AT271" s="77"/>
    </row>
    <row r="272" spans="46:46" customFormat="1" ht="14.5" hidden="1">
      <c r="AT272" s="77"/>
    </row>
    <row r="273" spans="46:46" customFormat="1" ht="14.5" hidden="1">
      <c r="AT273" s="77"/>
    </row>
    <row r="274" spans="46:46" customFormat="1" ht="14.5" hidden="1">
      <c r="AT274" s="77"/>
    </row>
    <row r="275" spans="46:46" customFormat="1" ht="14.5" hidden="1">
      <c r="AT275" s="77"/>
    </row>
    <row r="276" spans="46:46" customFormat="1" ht="14.5" hidden="1">
      <c r="AT276" s="77"/>
    </row>
    <row r="277" spans="46:46" customFormat="1" ht="14.5" hidden="1">
      <c r="AT277" s="77"/>
    </row>
    <row r="278" spans="46:46" customFormat="1" ht="14.5" hidden="1">
      <c r="AT278" s="77"/>
    </row>
    <row r="279" spans="46:46" customFormat="1" ht="14.5" hidden="1">
      <c r="AT279" s="77"/>
    </row>
    <row r="280" spans="46:46" customFormat="1" ht="14.5" hidden="1">
      <c r="AT280" s="77"/>
    </row>
    <row r="281" spans="46:46" customFormat="1" ht="14.5" hidden="1">
      <c r="AT281" s="77"/>
    </row>
    <row r="282" spans="46:46" customFormat="1" ht="14.5" hidden="1">
      <c r="AT282" s="77"/>
    </row>
    <row r="283" spans="46:46" customFormat="1" ht="14.5" hidden="1">
      <c r="AT283" s="77"/>
    </row>
    <row r="284" spans="46:46" customFormat="1" ht="14.5" hidden="1">
      <c r="AT284" s="77"/>
    </row>
    <row r="285" spans="46:46" customFormat="1" ht="14.5" hidden="1">
      <c r="AT285" s="77"/>
    </row>
    <row r="286" spans="46:46" customFormat="1" ht="14.5" hidden="1">
      <c r="AT286" s="77"/>
    </row>
    <row r="287" spans="46:46" customFormat="1" ht="14.5" hidden="1">
      <c r="AT287" s="77"/>
    </row>
    <row r="288" spans="46:46" customFormat="1" ht="14.5" hidden="1">
      <c r="AT288" s="77"/>
    </row>
    <row r="289" spans="46:46" customFormat="1" ht="14.5" hidden="1">
      <c r="AT289" s="77"/>
    </row>
    <row r="290" spans="46:46" customFormat="1" ht="14.5" hidden="1">
      <c r="AT290" s="77"/>
    </row>
    <row r="291" spans="46:46" customFormat="1" ht="14.5" hidden="1">
      <c r="AT291" s="77"/>
    </row>
    <row r="292" spans="46:46" customFormat="1" ht="14.5" hidden="1">
      <c r="AT292" s="77"/>
    </row>
    <row r="293" spans="46:46" customFormat="1" ht="14.5" hidden="1">
      <c r="AT293" s="77"/>
    </row>
    <row r="294" spans="46:46" customFormat="1" ht="14.5" hidden="1">
      <c r="AT294" s="77"/>
    </row>
    <row r="295" spans="46:46" customFormat="1" ht="14.5" hidden="1">
      <c r="AT295" s="77"/>
    </row>
    <row r="296" spans="46:46" customFormat="1" ht="14.5" hidden="1">
      <c r="AT296" s="77"/>
    </row>
    <row r="297" spans="46:46" customFormat="1" ht="14.5" hidden="1">
      <c r="AT297" s="77"/>
    </row>
    <row r="298" spans="46:46" customFormat="1" ht="14.5" hidden="1">
      <c r="AT298" s="77"/>
    </row>
    <row r="299" spans="46:46" customFormat="1" ht="14.5" hidden="1">
      <c r="AT299" s="77"/>
    </row>
    <row r="300" spans="46:46" customFormat="1" ht="14.5" hidden="1">
      <c r="AT300" s="77"/>
    </row>
    <row r="301" spans="46:46" customFormat="1" ht="14.5" hidden="1">
      <c r="AT301" s="77"/>
    </row>
    <row r="302" spans="46:46" customFormat="1" ht="14.5" hidden="1">
      <c r="AT302" s="77"/>
    </row>
    <row r="303" spans="46:46" customFormat="1" ht="14.5" hidden="1">
      <c r="AT303" s="77"/>
    </row>
    <row r="304" spans="46:46" customFormat="1" ht="14.5" hidden="1">
      <c r="AT304" s="77"/>
    </row>
    <row r="305" spans="46:46" customFormat="1" ht="14.5" hidden="1">
      <c r="AT305" s="77"/>
    </row>
    <row r="306" spans="46:46" customFormat="1" ht="14.5" hidden="1">
      <c r="AT306" s="77"/>
    </row>
    <row r="307" spans="46:46" customFormat="1" ht="14.5" hidden="1">
      <c r="AT307" s="77"/>
    </row>
    <row r="308" spans="46:46" customFormat="1" ht="14.5" hidden="1">
      <c r="AT308" s="77"/>
    </row>
    <row r="309" spans="46:46" customFormat="1" ht="14.5" hidden="1">
      <c r="AT309" s="77"/>
    </row>
    <row r="310" spans="46:46" customFormat="1" ht="14.5" hidden="1">
      <c r="AT310" s="77"/>
    </row>
    <row r="311" spans="46:46" customFormat="1" ht="14.5" hidden="1">
      <c r="AT311" s="77"/>
    </row>
    <row r="312" spans="46:46" customFormat="1" ht="14.5" hidden="1">
      <c r="AT312" s="77"/>
    </row>
    <row r="313" spans="46:46" customFormat="1" ht="14.5" hidden="1">
      <c r="AT313" s="77"/>
    </row>
    <row r="314" spans="46:46" customFormat="1" ht="14.5" hidden="1">
      <c r="AT314" s="77"/>
    </row>
    <row r="315" spans="46:46" customFormat="1" ht="14.5" hidden="1">
      <c r="AT315" s="77"/>
    </row>
    <row r="316" spans="46:46" customFormat="1" ht="14.5" hidden="1">
      <c r="AT316" s="77"/>
    </row>
    <row r="317" spans="46:46" customFormat="1" ht="14.5" hidden="1">
      <c r="AT317" s="77"/>
    </row>
    <row r="318" spans="46:46" customFormat="1" ht="14.5" hidden="1">
      <c r="AT318" s="77"/>
    </row>
    <row r="319" spans="46:46" customFormat="1" ht="14.5" hidden="1">
      <c r="AT319" s="77"/>
    </row>
    <row r="320" spans="46:46" customFormat="1" ht="14.5" hidden="1">
      <c r="AT320" s="77"/>
    </row>
    <row r="321" spans="46:46" customFormat="1" ht="14.5" hidden="1">
      <c r="AT321" s="77"/>
    </row>
    <row r="322" spans="46:46" customFormat="1" ht="14.5" hidden="1">
      <c r="AT322" s="77"/>
    </row>
    <row r="323" spans="46:46" customFormat="1" ht="14.5" hidden="1">
      <c r="AT323" s="77"/>
    </row>
    <row r="324" spans="46:46" customFormat="1" ht="14.5" hidden="1">
      <c r="AT324" s="77"/>
    </row>
    <row r="325" spans="46:46" customFormat="1" ht="14.5" hidden="1">
      <c r="AT325" s="77"/>
    </row>
    <row r="326" spans="46:46" customFormat="1" ht="14.5" hidden="1">
      <c r="AT326" s="77"/>
    </row>
    <row r="327" spans="46:46" customFormat="1" ht="14.5" hidden="1">
      <c r="AT327" s="77"/>
    </row>
    <row r="328" spans="46:46" customFormat="1" ht="14.5" hidden="1">
      <c r="AT328" s="77"/>
    </row>
    <row r="329" spans="46:46" customFormat="1" ht="14.5" hidden="1">
      <c r="AT329" s="77"/>
    </row>
    <row r="330" spans="46:46" customFormat="1" ht="14.5" hidden="1">
      <c r="AT330" s="77"/>
    </row>
    <row r="331" spans="46:46" customFormat="1" ht="14.5" hidden="1">
      <c r="AT331" s="77"/>
    </row>
    <row r="332" spans="46:46" customFormat="1" ht="14.5" hidden="1">
      <c r="AT332" s="77"/>
    </row>
    <row r="333" spans="46:46" customFormat="1" ht="14.5" hidden="1">
      <c r="AT333" s="77"/>
    </row>
    <row r="334" spans="46:46" customFormat="1" ht="14.5" hidden="1">
      <c r="AT334" s="77"/>
    </row>
    <row r="335" spans="46:46" customFormat="1" ht="14.5" hidden="1">
      <c r="AT335" s="77"/>
    </row>
    <row r="336" spans="46:46" customFormat="1" ht="14.5" hidden="1">
      <c r="AT336" s="77"/>
    </row>
    <row r="337" spans="46:46" customFormat="1" ht="14.5" hidden="1">
      <c r="AT337" s="77"/>
    </row>
    <row r="338" spans="46:46" customFormat="1" ht="14.5" hidden="1">
      <c r="AT338" s="77"/>
    </row>
    <row r="339" spans="46:46" customFormat="1" ht="14.5" hidden="1">
      <c r="AT339" s="77"/>
    </row>
    <row r="340" spans="46:46" customFormat="1" ht="14.5" hidden="1">
      <c r="AT340" s="77"/>
    </row>
    <row r="341" spans="46:46" customFormat="1" ht="14.5" hidden="1">
      <c r="AT341" s="77"/>
    </row>
    <row r="342" spans="46:46" customFormat="1" ht="14.5" hidden="1">
      <c r="AT342" s="77"/>
    </row>
    <row r="343" spans="46:46" customFormat="1" ht="14.5" hidden="1">
      <c r="AT343" s="77"/>
    </row>
    <row r="344" spans="46:46" customFormat="1" ht="14.5" hidden="1">
      <c r="AT344" s="77"/>
    </row>
    <row r="345" spans="46:46" customFormat="1" ht="14.5" hidden="1">
      <c r="AT345" s="77"/>
    </row>
    <row r="346" spans="46:46" customFormat="1" ht="14.5" hidden="1">
      <c r="AT346" s="77"/>
    </row>
    <row r="347" spans="46:46" customFormat="1" ht="14.5" hidden="1">
      <c r="AT347" s="77"/>
    </row>
    <row r="348" spans="46:46" customFormat="1" ht="14.5" hidden="1">
      <c r="AT348" s="77"/>
    </row>
    <row r="349" spans="46:46" customFormat="1" ht="14.5" hidden="1">
      <c r="AT349" s="77"/>
    </row>
    <row r="350" spans="46:46" customFormat="1" ht="14.5" hidden="1">
      <c r="AT350" s="77"/>
    </row>
    <row r="351" spans="46:46" customFormat="1" ht="14.5" hidden="1">
      <c r="AT351" s="77"/>
    </row>
    <row r="352" spans="46:46" customFormat="1" ht="14.5" hidden="1">
      <c r="AT352" s="77"/>
    </row>
    <row r="353" spans="46:46" customFormat="1" ht="14.5" hidden="1">
      <c r="AT353" s="77"/>
    </row>
    <row r="354" spans="46:46" customFormat="1" ht="14.5" hidden="1">
      <c r="AT354" s="77"/>
    </row>
    <row r="355" spans="46:46" customFormat="1" ht="14.5" hidden="1">
      <c r="AT355" s="77"/>
    </row>
    <row r="356" spans="46:46" customFormat="1" ht="14.5" hidden="1">
      <c r="AT356" s="77"/>
    </row>
    <row r="357" spans="46:46" customFormat="1" ht="14.5" hidden="1">
      <c r="AT357" s="77"/>
    </row>
    <row r="358" spans="46:46" customFormat="1" ht="14.5" hidden="1">
      <c r="AT358" s="77"/>
    </row>
    <row r="359" spans="46:46" customFormat="1" ht="14.5" hidden="1">
      <c r="AT359" s="77"/>
    </row>
    <row r="360" spans="46:46" customFormat="1" ht="14.5" hidden="1">
      <c r="AT360" s="77"/>
    </row>
    <row r="361" spans="46:46" customFormat="1" ht="14.5" hidden="1">
      <c r="AT361" s="77"/>
    </row>
    <row r="362" spans="46:46" customFormat="1" ht="14.5" hidden="1">
      <c r="AT362" s="77"/>
    </row>
    <row r="363" spans="46:46" customFormat="1" ht="14.5" hidden="1">
      <c r="AT363" s="77"/>
    </row>
    <row r="364" spans="46:46" customFormat="1" ht="14.5" hidden="1">
      <c r="AT364" s="77"/>
    </row>
    <row r="365" spans="46:46" customFormat="1" ht="14.5" hidden="1">
      <c r="AT365" s="77"/>
    </row>
    <row r="366" spans="46:46" customFormat="1" ht="14.5" hidden="1">
      <c r="AT366" s="77"/>
    </row>
    <row r="367" spans="46:46" customFormat="1" ht="14.5" hidden="1">
      <c r="AT367" s="77"/>
    </row>
    <row r="368" spans="46:46" customFormat="1" ht="14.5" hidden="1">
      <c r="AT368" s="77"/>
    </row>
    <row r="369" spans="46:46" customFormat="1" ht="14.5" hidden="1">
      <c r="AT369" s="77"/>
    </row>
    <row r="370" spans="46:46" customFormat="1" ht="14.5" hidden="1">
      <c r="AT370" s="77"/>
    </row>
    <row r="371" spans="46:46" customFormat="1" ht="14.5" hidden="1">
      <c r="AT371" s="77"/>
    </row>
    <row r="372" spans="46:46" customFormat="1" ht="14.5" hidden="1">
      <c r="AT372" s="77"/>
    </row>
    <row r="373" spans="46:46" customFormat="1" ht="14.5" hidden="1">
      <c r="AT373" s="77"/>
    </row>
    <row r="374" spans="46:46" customFormat="1" ht="14.5" hidden="1">
      <c r="AT374" s="77"/>
    </row>
    <row r="375" spans="46:46" customFormat="1" ht="14.5" hidden="1">
      <c r="AT375" s="77"/>
    </row>
    <row r="376" spans="46:46" customFormat="1" ht="14.5" hidden="1">
      <c r="AT376" s="77"/>
    </row>
    <row r="377" spans="46:46" customFormat="1" ht="14.5" hidden="1">
      <c r="AT377" s="77"/>
    </row>
    <row r="378" spans="46:46" customFormat="1" ht="14.5" hidden="1">
      <c r="AT378" s="77"/>
    </row>
    <row r="379" spans="46:46" customFormat="1" ht="14.5" hidden="1">
      <c r="AT379" s="77"/>
    </row>
    <row r="380" spans="46:46" customFormat="1" ht="14.5" hidden="1">
      <c r="AT380" s="77"/>
    </row>
    <row r="381" spans="46:46" customFormat="1" ht="14.5" hidden="1">
      <c r="AT381" s="77"/>
    </row>
    <row r="382" spans="46:46" customFormat="1" ht="14.5" hidden="1">
      <c r="AT382" s="77"/>
    </row>
    <row r="383" spans="46:46" customFormat="1" ht="14.5" hidden="1">
      <c r="AT383" s="77"/>
    </row>
    <row r="384" spans="46:46" customFormat="1" ht="14.5" hidden="1">
      <c r="AT384" s="77"/>
    </row>
    <row r="385" spans="46:46" customFormat="1" ht="14.5" hidden="1">
      <c r="AT385" s="77"/>
    </row>
    <row r="386" spans="46:46" customFormat="1" ht="14.5" hidden="1">
      <c r="AT386" s="77"/>
    </row>
    <row r="387" spans="46:46" customFormat="1" ht="14.5" hidden="1">
      <c r="AT387" s="77"/>
    </row>
    <row r="388" spans="46:46" customFormat="1" ht="14.5" hidden="1">
      <c r="AT388" s="77"/>
    </row>
    <row r="389" spans="46:46" customFormat="1" ht="14.5" hidden="1">
      <c r="AT389" s="77"/>
    </row>
    <row r="390" spans="46:46" customFormat="1" ht="14.5" hidden="1">
      <c r="AT390" s="77"/>
    </row>
    <row r="391" spans="46:46" customFormat="1" ht="14.5" hidden="1">
      <c r="AT391" s="77"/>
    </row>
    <row r="392" spans="46:46" customFormat="1" ht="14.5" hidden="1">
      <c r="AT392" s="77"/>
    </row>
    <row r="393" spans="46:46" customFormat="1" ht="14.5" hidden="1">
      <c r="AT393" s="77"/>
    </row>
    <row r="394" spans="46:46" customFormat="1" ht="14.5" hidden="1">
      <c r="AT394" s="77"/>
    </row>
    <row r="395" spans="46:46" customFormat="1" ht="14.5" hidden="1">
      <c r="AT395" s="77"/>
    </row>
    <row r="396" spans="46:46" customFormat="1" ht="14.5" hidden="1">
      <c r="AT396" s="77"/>
    </row>
    <row r="397" spans="46:46" customFormat="1" ht="14.5" hidden="1">
      <c r="AT397" s="77"/>
    </row>
    <row r="398" spans="46:46" customFormat="1" ht="14.5" hidden="1">
      <c r="AT398" s="77"/>
    </row>
    <row r="399" spans="46:46" customFormat="1" ht="14.5" hidden="1">
      <c r="AT399" s="77"/>
    </row>
    <row r="400" spans="46:46" customFormat="1" ht="14.5" hidden="1">
      <c r="AT400" s="77"/>
    </row>
    <row r="401" spans="46:46" customFormat="1" ht="14.5" hidden="1">
      <c r="AT401" s="77"/>
    </row>
    <row r="402" spans="46:46" customFormat="1" ht="14.5" hidden="1">
      <c r="AT402" s="77"/>
    </row>
    <row r="403" spans="46:46" customFormat="1" ht="14.5" hidden="1">
      <c r="AT403" s="77"/>
    </row>
    <row r="404" spans="46:46" customFormat="1" ht="14.5" hidden="1">
      <c r="AT404" s="77"/>
    </row>
    <row r="405" spans="46:46" customFormat="1" ht="14.5" hidden="1">
      <c r="AT405" s="77"/>
    </row>
    <row r="406" spans="46:46" customFormat="1" ht="14.5" hidden="1">
      <c r="AT406" s="77"/>
    </row>
    <row r="407" spans="46:46" customFormat="1" ht="14.5" hidden="1">
      <c r="AT407" s="77"/>
    </row>
    <row r="408" spans="46:46" customFormat="1" ht="14.5" hidden="1">
      <c r="AT408" s="77"/>
    </row>
    <row r="409" spans="46:46" customFormat="1" ht="14.5" hidden="1">
      <c r="AT409" s="77"/>
    </row>
    <row r="410" spans="46:46" customFormat="1" ht="14.5" hidden="1">
      <c r="AT410" s="77"/>
    </row>
    <row r="411" spans="46:46" customFormat="1" ht="14.5" hidden="1">
      <c r="AT411" s="77"/>
    </row>
    <row r="412" spans="46:46" customFormat="1" ht="14.5" hidden="1">
      <c r="AT412" s="77"/>
    </row>
    <row r="413" spans="46:46" customFormat="1" ht="14.5" hidden="1">
      <c r="AT413" s="77"/>
    </row>
    <row r="414" spans="46:46" customFormat="1" ht="14.5" hidden="1">
      <c r="AT414" s="77"/>
    </row>
    <row r="415" spans="46:46" customFormat="1" ht="14.5" hidden="1">
      <c r="AT415" s="77"/>
    </row>
    <row r="416" spans="46:46" customFormat="1" ht="14.5" hidden="1">
      <c r="AT416" s="77"/>
    </row>
    <row r="417" spans="46:46" customFormat="1" ht="14.5" hidden="1">
      <c r="AT417" s="77"/>
    </row>
    <row r="418" spans="46:46" customFormat="1" ht="14.5" hidden="1">
      <c r="AT418" s="77"/>
    </row>
    <row r="419" spans="46:46" customFormat="1" ht="14.5" hidden="1">
      <c r="AT419" s="77"/>
    </row>
    <row r="420" spans="46:46" customFormat="1" ht="14.5" hidden="1">
      <c r="AT420" s="77"/>
    </row>
    <row r="421" spans="46:46" customFormat="1" ht="14.5" hidden="1">
      <c r="AT421" s="77"/>
    </row>
    <row r="422" spans="46:46" customFormat="1" ht="14.5" hidden="1">
      <c r="AT422" s="77"/>
    </row>
    <row r="423" spans="46:46" customFormat="1" ht="14.5" hidden="1">
      <c r="AT423" s="77"/>
    </row>
    <row r="424" spans="46:46" customFormat="1" ht="14.5" hidden="1">
      <c r="AT424" s="77"/>
    </row>
    <row r="425" spans="46:46" customFormat="1" ht="14.5" hidden="1">
      <c r="AT425" s="77"/>
    </row>
    <row r="426" spans="46:46" customFormat="1" ht="14.5" hidden="1">
      <c r="AT426" s="77"/>
    </row>
    <row r="427" spans="46:46" customFormat="1" ht="14.5" hidden="1">
      <c r="AT427" s="77"/>
    </row>
    <row r="428" spans="46:46" customFormat="1" ht="14.5" hidden="1">
      <c r="AT428" s="77"/>
    </row>
    <row r="429" spans="46:46" customFormat="1" ht="14.5" hidden="1">
      <c r="AT429" s="77"/>
    </row>
    <row r="430" spans="46:46" customFormat="1" ht="14.5" hidden="1">
      <c r="AT430" s="77"/>
    </row>
    <row r="431" spans="46:46" customFormat="1" ht="14.5" hidden="1">
      <c r="AT431" s="77"/>
    </row>
    <row r="432" spans="46:46" customFormat="1" ht="14.5" hidden="1">
      <c r="AT432" s="77"/>
    </row>
    <row r="433" spans="46:46" customFormat="1" ht="14.5" hidden="1">
      <c r="AT433" s="77"/>
    </row>
    <row r="434" spans="46:46" customFormat="1" ht="14.5" hidden="1">
      <c r="AT434" s="77"/>
    </row>
    <row r="435" spans="46:46" customFormat="1" ht="14.5" hidden="1">
      <c r="AT435" s="77"/>
    </row>
    <row r="436" spans="46:46" customFormat="1" ht="14.5" hidden="1">
      <c r="AT436" s="77"/>
    </row>
    <row r="437" spans="46:46" customFormat="1" ht="14.5" hidden="1">
      <c r="AT437" s="77"/>
    </row>
    <row r="438" spans="46:46" customFormat="1" ht="14.5" hidden="1">
      <c r="AT438" s="77"/>
    </row>
    <row r="439" spans="46:46" customFormat="1" ht="14.5" hidden="1">
      <c r="AT439" s="77"/>
    </row>
    <row r="440" spans="46:46" customFormat="1" ht="14.5" hidden="1">
      <c r="AT440" s="77"/>
    </row>
    <row r="441" spans="46:46" customFormat="1" ht="14.5" hidden="1">
      <c r="AT441" s="77"/>
    </row>
    <row r="442" spans="46:46" customFormat="1" ht="14.5" hidden="1">
      <c r="AT442" s="77"/>
    </row>
    <row r="443" spans="46:46" customFormat="1" ht="14.5" hidden="1">
      <c r="AT443" s="77"/>
    </row>
    <row r="444" spans="46:46" customFormat="1" ht="14.5" hidden="1">
      <c r="AT444" s="77"/>
    </row>
    <row r="445" spans="46:46" customFormat="1" ht="14.5" hidden="1">
      <c r="AT445" s="77"/>
    </row>
    <row r="446" spans="46:46" customFormat="1" ht="14.5" hidden="1">
      <c r="AT446" s="77"/>
    </row>
    <row r="447" spans="46:46" customFormat="1" ht="14.5" hidden="1">
      <c r="AT447" s="77"/>
    </row>
    <row r="448" spans="46:46" customFormat="1" ht="14.5" hidden="1">
      <c r="AT448" s="77"/>
    </row>
    <row r="449" spans="46:46" customFormat="1" ht="14.5" hidden="1">
      <c r="AT449" s="77"/>
    </row>
    <row r="450" spans="46:46" customFormat="1" ht="14.5" hidden="1">
      <c r="AT450" s="77"/>
    </row>
    <row r="451" spans="46:46" customFormat="1" ht="14.5" hidden="1">
      <c r="AT451" s="77"/>
    </row>
    <row r="452" spans="46:46" customFormat="1" ht="14.5" hidden="1">
      <c r="AT452" s="77"/>
    </row>
    <row r="453" spans="46:46" customFormat="1" ht="14.5" hidden="1">
      <c r="AT453" s="77"/>
    </row>
    <row r="454" spans="46:46" customFormat="1" ht="14.5" hidden="1">
      <c r="AT454" s="77"/>
    </row>
    <row r="455" spans="46:46" customFormat="1" ht="14.5" hidden="1">
      <c r="AT455" s="77"/>
    </row>
    <row r="456" spans="46:46" customFormat="1" ht="14.5" hidden="1">
      <c r="AT456" s="77"/>
    </row>
    <row r="457" spans="46:46" customFormat="1" ht="14.5" hidden="1">
      <c r="AT457" s="77"/>
    </row>
    <row r="458" spans="46:46" customFormat="1" ht="14.5" hidden="1">
      <c r="AT458" s="77"/>
    </row>
    <row r="459" spans="46:46" customFormat="1" ht="14.5" hidden="1">
      <c r="AT459" s="77"/>
    </row>
    <row r="460" spans="46:46" customFormat="1" ht="14.5" hidden="1">
      <c r="AT460" s="77"/>
    </row>
    <row r="461" spans="46:46" customFormat="1" ht="14.5" hidden="1">
      <c r="AT461" s="77"/>
    </row>
    <row r="462" spans="46:46" customFormat="1" ht="14.5" hidden="1">
      <c r="AT462" s="77"/>
    </row>
    <row r="463" spans="46:46" customFormat="1" ht="14.5" hidden="1">
      <c r="AT463" s="77"/>
    </row>
    <row r="464" spans="46:46" customFormat="1" ht="14.5" hidden="1">
      <c r="AT464" s="77"/>
    </row>
    <row r="465" spans="46:46" customFormat="1" ht="14.5" hidden="1">
      <c r="AT465" s="77"/>
    </row>
    <row r="466" spans="46:46" customFormat="1" ht="14.5" hidden="1">
      <c r="AT466" s="77"/>
    </row>
    <row r="467" spans="46:46" customFormat="1" ht="14.5" hidden="1">
      <c r="AT467" s="77"/>
    </row>
    <row r="468" spans="46:46" customFormat="1" ht="14.5" hidden="1">
      <c r="AT468" s="77"/>
    </row>
    <row r="469" spans="46:46" customFormat="1" ht="14.5" hidden="1">
      <c r="AT469" s="77"/>
    </row>
    <row r="470" spans="46:46" customFormat="1" ht="14.5" hidden="1">
      <c r="AT470" s="77"/>
    </row>
    <row r="471" spans="46:46" customFormat="1" ht="14.5" hidden="1">
      <c r="AT471" s="77"/>
    </row>
    <row r="472" spans="46:46" customFormat="1" ht="14.5" hidden="1">
      <c r="AT472" s="77"/>
    </row>
    <row r="473" spans="46:46" customFormat="1" ht="14.5" hidden="1">
      <c r="AT473" s="77"/>
    </row>
    <row r="474" spans="46:46" customFormat="1" ht="14.5" hidden="1">
      <c r="AT474" s="77"/>
    </row>
    <row r="475" spans="46:46" customFormat="1" ht="14.5" hidden="1">
      <c r="AT475" s="77"/>
    </row>
    <row r="476" spans="46:46" customFormat="1" ht="14.5" hidden="1">
      <c r="AT476" s="77"/>
    </row>
    <row r="477" spans="46:46" customFormat="1" ht="14.5" hidden="1">
      <c r="AT477" s="77"/>
    </row>
    <row r="478" spans="46:46" customFormat="1" ht="14.5" hidden="1">
      <c r="AT478" s="77"/>
    </row>
    <row r="479" spans="46:46" customFormat="1" ht="14.5" hidden="1">
      <c r="AT479" s="77"/>
    </row>
    <row r="480" spans="46:46" customFormat="1" ht="14.5" hidden="1">
      <c r="AT480" s="77"/>
    </row>
    <row r="481" spans="46:46" customFormat="1" ht="14.5" hidden="1">
      <c r="AT481" s="77"/>
    </row>
    <row r="482" spans="46:46" customFormat="1" ht="14.5" hidden="1">
      <c r="AT482" s="77"/>
    </row>
    <row r="483" spans="46:46" customFormat="1" ht="14.5" hidden="1">
      <c r="AT483" s="77"/>
    </row>
    <row r="484" spans="46:46" customFormat="1" ht="14.5" hidden="1">
      <c r="AT484" s="77"/>
    </row>
    <row r="485" spans="46:46" customFormat="1" ht="14.5" hidden="1">
      <c r="AT485" s="77"/>
    </row>
    <row r="486" spans="46:46" customFormat="1" ht="14.5" hidden="1">
      <c r="AT486" s="77"/>
    </row>
    <row r="487" spans="46:46" customFormat="1" ht="14.5" hidden="1">
      <c r="AT487" s="77"/>
    </row>
    <row r="488" spans="46:46" customFormat="1" ht="14.5" hidden="1">
      <c r="AT488" s="77"/>
    </row>
    <row r="489" spans="46:46" customFormat="1" ht="14.5" hidden="1">
      <c r="AT489" s="77"/>
    </row>
    <row r="490" spans="46:46" customFormat="1" ht="14.5" hidden="1">
      <c r="AT490" s="77"/>
    </row>
    <row r="491" spans="46:46" customFormat="1" ht="14.5" hidden="1">
      <c r="AT491" s="77"/>
    </row>
    <row r="492" spans="46:46" customFormat="1" ht="14.5" hidden="1">
      <c r="AT492" s="77"/>
    </row>
    <row r="493" spans="46:46" customFormat="1" ht="14.5" hidden="1">
      <c r="AT493" s="77"/>
    </row>
    <row r="494" spans="46:46" customFormat="1" ht="14.5" hidden="1">
      <c r="AT494" s="77"/>
    </row>
    <row r="495" spans="46:46" customFormat="1" ht="14.5" hidden="1">
      <c r="AT495" s="77"/>
    </row>
    <row r="496" spans="46:46" customFormat="1" ht="14.5" hidden="1">
      <c r="AT496" s="77"/>
    </row>
    <row r="497" spans="46:46" customFormat="1" ht="14.5" hidden="1">
      <c r="AT497" s="77"/>
    </row>
    <row r="498" spans="46:46" customFormat="1" ht="14.5" hidden="1">
      <c r="AT498" s="77"/>
    </row>
    <row r="499" spans="46:46" customFormat="1" ht="14.5" hidden="1">
      <c r="AT499" s="77"/>
    </row>
    <row r="500" spans="46:46" customFormat="1" ht="14.5" hidden="1">
      <c r="AT500" s="77"/>
    </row>
    <row r="501" spans="46:46" customFormat="1" ht="14.5" hidden="1">
      <c r="AT501" s="77"/>
    </row>
    <row r="502" spans="46:46" customFormat="1" ht="14.5" hidden="1">
      <c r="AT502" s="77"/>
    </row>
    <row r="503" spans="46:46" customFormat="1" ht="14.5" hidden="1">
      <c r="AT503" s="77"/>
    </row>
    <row r="504" spans="46:46" customFormat="1" ht="14.5" hidden="1">
      <c r="AT504" s="77"/>
    </row>
    <row r="505" spans="46:46" customFormat="1" ht="14.5" hidden="1">
      <c r="AT505" s="77"/>
    </row>
    <row r="506" spans="46:46" customFormat="1" ht="14.5" hidden="1">
      <c r="AT506" s="77"/>
    </row>
    <row r="507" spans="46:46" customFormat="1" ht="14.5" hidden="1">
      <c r="AT507" s="77"/>
    </row>
    <row r="508" spans="46:46" customFormat="1" ht="14.5" hidden="1">
      <c r="AT508" s="77"/>
    </row>
    <row r="509" spans="46:46" customFormat="1" ht="14.5" hidden="1">
      <c r="AT509" s="77"/>
    </row>
    <row r="510" spans="46:46" customFormat="1" ht="14.5" hidden="1">
      <c r="AT510" s="77"/>
    </row>
    <row r="511" spans="46:46" customFormat="1" ht="14.5" hidden="1">
      <c r="AT511" s="77"/>
    </row>
    <row r="512" spans="46:46" customFormat="1" ht="14.5" hidden="1">
      <c r="AT512" s="77"/>
    </row>
    <row r="513" spans="46:46" customFormat="1" ht="14.5" hidden="1">
      <c r="AT513" s="77"/>
    </row>
    <row r="514" spans="46:46" customFormat="1" ht="14.5" hidden="1">
      <c r="AT514" s="77"/>
    </row>
    <row r="515" spans="46:46" customFormat="1" ht="14.5" hidden="1">
      <c r="AT515" s="77"/>
    </row>
    <row r="516" spans="46:46" customFormat="1" ht="14.5" hidden="1">
      <c r="AT516" s="77"/>
    </row>
    <row r="517" spans="46:46" customFormat="1" ht="14.5" hidden="1">
      <c r="AT517" s="77"/>
    </row>
    <row r="518" spans="46:46" customFormat="1" ht="14.5" hidden="1">
      <c r="AT518" s="77"/>
    </row>
    <row r="519" spans="46:46" customFormat="1" ht="14.5" hidden="1">
      <c r="AT519" s="77"/>
    </row>
    <row r="520" spans="46:46" customFormat="1" ht="14.5" hidden="1">
      <c r="AT520" s="77"/>
    </row>
    <row r="521" spans="46:46" customFormat="1" ht="14.5" hidden="1">
      <c r="AT521" s="77"/>
    </row>
    <row r="522" spans="46:46" customFormat="1" ht="14.5" hidden="1">
      <c r="AT522" s="77"/>
    </row>
    <row r="523" spans="46:46" customFormat="1" ht="14.5" hidden="1">
      <c r="AT523" s="77"/>
    </row>
    <row r="524" spans="46:46" customFormat="1" ht="14.5" hidden="1">
      <c r="AT524" s="77"/>
    </row>
    <row r="525" spans="46:46" customFormat="1" ht="14.5" hidden="1">
      <c r="AT525" s="77"/>
    </row>
    <row r="526" spans="46:46" customFormat="1" ht="14.5" hidden="1">
      <c r="AT526" s="77"/>
    </row>
    <row r="527" spans="46:46" customFormat="1" ht="14.5" hidden="1">
      <c r="AT527" s="77"/>
    </row>
    <row r="528" spans="46:46" customFormat="1" ht="14.5" hidden="1">
      <c r="AT528" s="77"/>
    </row>
    <row r="529" spans="46:46" customFormat="1" ht="14.5" hidden="1">
      <c r="AT529" s="77"/>
    </row>
    <row r="530" spans="46:46" customFormat="1" ht="14.5" hidden="1">
      <c r="AT530" s="77"/>
    </row>
    <row r="531" spans="46:46" customFormat="1" ht="14.5" hidden="1">
      <c r="AT531" s="77"/>
    </row>
    <row r="532" spans="46:46" customFormat="1" ht="14.5" hidden="1">
      <c r="AT532" s="77"/>
    </row>
    <row r="533" spans="46:46" customFormat="1" ht="14.5" hidden="1">
      <c r="AT533" s="77"/>
    </row>
    <row r="534" spans="46:46" customFormat="1" ht="14.5" hidden="1">
      <c r="AT534" s="77"/>
    </row>
    <row r="535" spans="46:46" customFormat="1" ht="14.5" hidden="1">
      <c r="AT535" s="77"/>
    </row>
    <row r="536" spans="46:46" customFormat="1" ht="14.5" hidden="1">
      <c r="AT536" s="77"/>
    </row>
    <row r="537" spans="46:46" customFormat="1" ht="14.5" hidden="1">
      <c r="AT537" s="77"/>
    </row>
    <row r="538" spans="46:46" customFormat="1" ht="14.5" hidden="1">
      <c r="AT538" s="77"/>
    </row>
    <row r="539" spans="46:46" customFormat="1" ht="14.5" hidden="1">
      <c r="AT539" s="77"/>
    </row>
    <row r="540" spans="46:46" customFormat="1" ht="14.5" hidden="1">
      <c r="AT540" s="77"/>
    </row>
    <row r="541" spans="46:46" customFormat="1" ht="14.5" hidden="1">
      <c r="AT541" s="77"/>
    </row>
    <row r="542" spans="46:46" customFormat="1" ht="14.5" hidden="1">
      <c r="AT542" s="77"/>
    </row>
    <row r="543" spans="46:46" customFormat="1" ht="14.5" hidden="1">
      <c r="AT543" s="77"/>
    </row>
    <row r="544" spans="46:46" customFormat="1" ht="14.5" hidden="1">
      <c r="AT544" s="77"/>
    </row>
    <row r="545" spans="46:46" customFormat="1" ht="14.5" hidden="1">
      <c r="AT545" s="77"/>
    </row>
    <row r="546" spans="46:46" customFormat="1" ht="14.5" hidden="1">
      <c r="AT546" s="77"/>
    </row>
    <row r="547" spans="46:46" customFormat="1" ht="14.5" hidden="1">
      <c r="AT547" s="77"/>
    </row>
    <row r="548" spans="46:46" customFormat="1" ht="14.5" hidden="1">
      <c r="AT548" s="77"/>
    </row>
    <row r="549" spans="46:46" customFormat="1" ht="14.5" hidden="1">
      <c r="AT549" s="77"/>
    </row>
    <row r="550" spans="46:46" customFormat="1" ht="14.5" hidden="1">
      <c r="AT550" s="77"/>
    </row>
    <row r="551" spans="46:46" customFormat="1" ht="14.5" hidden="1">
      <c r="AT551" s="77"/>
    </row>
    <row r="552" spans="46:46" customFormat="1" ht="14.5" hidden="1">
      <c r="AT552" s="77"/>
    </row>
    <row r="553" spans="46:46" customFormat="1" ht="14.5" hidden="1">
      <c r="AT553" s="77"/>
    </row>
    <row r="554" spans="46:46" customFormat="1" ht="14.5" hidden="1">
      <c r="AT554" s="77"/>
    </row>
    <row r="555" spans="46:46" customFormat="1" ht="14.5" hidden="1">
      <c r="AT555" s="77"/>
    </row>
    <row r="556" spans="46:46" customFormat="1" ht="14.5" hidden="1">
      <c r="AT556" s="77"/>
    </row>
    <row r="557" spans="46:46" customFormat="1" ht="14.5" hidden="1">
      <c r="AT557" s="77"/>
    </row>
    <row r="558" spans="46:46" customFormat="1" ht="14.5" hidden="1">
      <c r="AT558" s="77"/>
    </row>
    <row r="559" spans="46:46" customFormat="1" ht="14.5" hidden="1">
      <c r="AT559" s="77"/>
    </row>
    <row r="560" spans="46:46" customFormat="1" ht="14.5" hidden="1">
      <c r="AT560" s="77"/>
    </row>
    <row r="561" spans="46:46" customFormat="1" ht="14.5" hidden="1">
      <c r="AT561" s="77"/>
    </row>
    <row r="562" spans="46:46" customFormat="1" ht="14.5" hidden="1">
      <c r="AT562" s="77"/>
    </row>
    <row r="563" spans="46:46" customFormat="1" ht="14.5" hidden="1">
      <c r="AT563" s="77"/>
    </row>
    <row r="564" spans="46:46" customFormat="1" ht="14.5" hidden="1">
      <c r="AT564" s="77"/>
    </row>
    <row r="565" spans="46:46" customFormat="1" ht="14.5" hidden="1">
      <c r="AT565" s="77"/>
    </row>
    <row r="566" spans="46:46" customFormat="1" ht="14.5" hidden="1">
      <c r="AT566" s="77"/>
    </row>
    <row r="567" spans="46:46" customFormat="1" ht="14.5" hidden="1">
      <c r="AT567" s="77"/>
    </row>
    <row r="568" spans="46:46" customFormat="1" ht="14.5" hidden="1">
      <c r="AT568" s="77"/>
    </row>
    <row r="569" spans="46:46" customFormat="1" ht="14.5" hidden="1">
      <c r="AT569" s="77"/>
    </row>
    <row r="570" spans="46:46" customFormat="1" ht="14.5" hidden="1">
      <c r="AT570" s="77"/>
    </row>
    <row r="571" spans="46:46" customFormat="1" ht="14.5" hidden="1">
      <c r="AT571" s="77"/>
    </row>
    <row r="572" spans="46:46" customFormat="1" ht="14.5" hidden="1">
      <c r="AT572" s="77"/>
    </row>
    <row r="573" spans="46:46" customFormat="1" ht="14.5" hidden="1">
      <c r="AT573" s="77"/>
    </row>
    <row r="574" spans="46:46" customFormat="1" ht="14.5" hidden="1">
      <c r="AT574" s="77"/>
    </row>
    <row r="575" spans="46:46" customFormat="1" ht="14.5" hidden="1">
      <c r="AT575" s="77"/>
    </row>
    <row r="576" spans="46:46" customFormat="1" ht="14.5" hidden="1">
      <c r="AT576" s="77"/>
    </row>
    <row r="577" spans="46:46" customFormat="1" ht="14.5" hidden="1">
      <c r="AT577" s="77"/>
    </row>
    <row r="578" spans="46:46" customFormat="1" ht="14.5" hidden="1">
      <c r="AT578" s="77"/>
    </row>
    <row r="579" spans="46:46" customFormat="1" ht="14.5" hidden="1">
      <c r="AT579" s="77"/>
    </row>
    <row r="580" spans="46:46" customFormat="1" ht="14.5" hidden="1">
      <c r="AT580" s="77"/>
    </row>
    <row r="581" spans="46:46" customFormat="1" ht="14.5" hidden="1">
      <c r="AT581" s="77"/>
    </row>
    <row r="582" spans="46:46" customFormat="1" ht="14.5" hidden="1">
      <c r="AT582" s="77"/>
    </row>
    <row r="583" spans="46:46" customFormat="1" ht="14.5" hidden="1">
      <c r="AT583" s="77"/>
    </row>
    <row r="584" spans="46:46" customFormat="1" ht="14.5" hidden="1">
      <c r="AT584" s="77"/>
    </row>
    <row r="585" spans="46:46" customFormat="1" ht="14.5" hidden="1">
      <c r="AT585" s="77"/>
    </row>
    <row r="586" spans="46:46" customFormat="1" ht="14.5" hidden="1">
      <c r="AT586" s="77"/>
    </row>
    <row r="587" spans="46:46" customFormat="1" ht="14.5" hidden="1">
      <c r="AT587" s="77"/>
    </row>
    <row r="588" spans="46:46" customFormat="1" ht="14.5" hidden="1">
      <c r="AT588" s="77"/>
    </row>
    <row r="589" spans="46:46" customFormat="1" ht="14.5" hidden="1">
      <c r="AT589" s="77"/>
    </row>
    <row r="590" spans="46:46" customFormat="1" ht="14.5" hidden="1">
      <c r="AT590" s="77"/>
    </row>
    <row r="591" spans="46:46" customFormat="1" ht="14.5" hidden="1">
      <c r="AT591" s="77"/>
    </row>
    <row r="592" spans="46:46" customFormat="1" ht="14.5" hidden="1">
      <c r="AT592" s="77"/>
    </row>
    <row r="593" spans="46:46" customFormat="1" ht="14.5" hidden="1">
      <c r="AT593" s="77"/>
    </row>
    <row r="594" spans="46:46" customFormat="1" ht="14.5" hidden="1">
      <c r="AT594" s="77"/>
    </row>
    <row r="595" spans="46:46" customFormat="1" ht="14.5" hidden="1">
      <c r="AT595" s="77"/>
    </row>
    <row r="596" spans="46:46" customFormat="1" ht="14.5" hidden="1">
      <c r="AT596" s="77"/>
    </row>
    <row r="597" spans="46:46" customFormat="1" ht="14.5" hidden="1">
      <c r="AT597" s="77"/>
    </row>
    <row r="598" spans="46:46" customFormat="1" ht="14.5" hidden="1">
      <c r="AT598" s="77"/>
    </row>
    <row r="599" spans="46:46" customFormat="1" ht="14.5" hidden="1">
      <c r="AT599" s="77"/>
    </row>
    <row r="600" spans="46:46" customFormat="1" ht="14.5" hidden="1">
      <c r="AT600" s="77"/>
    </row>
    <row r="601" spans="46:46" customFormat="1" ht="14.5" hidden="1">
      <c r="AT601" s="77"/>
    </row>
    <row r="602" spans="46:46" customFormat="1" ht="14.5" hidden="1">
      <c r="AT602" s="77"/>
    </row>
    <row r="603" spans="46:46" customFormat="1" ht="14.5" hidden="1">
      <c r="AT603" s="77"/>
    </row>
    <row r="604" spans="46:46" customFormat="1" ht="14.5" hidden="1">
      <c r="AT604" s="77"/>
    </row>
    <row r="605" spans="46:46" customFormat="1" ht="14.5" hidden="1">
      <c r="AT605" s="77"/>
    </row>
    <row r="606" spans="46:46" customFormat="1" ht="14.5" hidden="1">
      <c r="AT606" s="77"/>
    </row>
    <row r="607" spans="46:46" customFormat="1" ht="14.5" hidden="1">
      <c r="AT607" s="77"/>
    </row>
    <row r="608" spans="46:46" customFormat="1" ht="14.5" hidden="1">
      <c r="AT608" s="77"/>
    </row>
    <row r="609" spans="46:46" customFormat="1" ht="14.5" hidden="1">
      <c r="AT609" s="77"/>
    </row>
    <row r="610" spans="46:46" customFormat="1" ht="14.5" hidden="1">
      <c r="AT610" s="77"/>
    </row>
    <row r="611" spans="46:46" customFormat="1" ht="14.5" hidden="1">
      <c r="AT611" s="77"/>
    </row>
    <row r="612" spans="46:46" customFormat="1" ht="14.5" hidden="1">
      <c r="AT612" s="77"/>
    </row>
    <row r="613" spans="46:46" customFormat="1" ht="14.5" hidden="1">
      <c r="AT613" s="77"/>
    </row>
    <row r="614" spans="46:46" customFormat="1" ht="14.5" hidden="1">
      <c r="AT614" s="77"/>
    </row>
    <row r="615" spans="46:46" customFormat="1" ht="14.5" hidden="1">
      <c r="AT615" s="77"/>
    </row>
    <row r="616" spans="46:46" customFormat="1" ht="14.5" hidden="1">
      <c r="AT616" s="77"/>
    </row>
    <row r="617" spans="46:46" customFormat="1" ht="14.5" hidden="1">
      <c r="AT617" s="77"/>
    </row>
    <row r="618" spans="46:46" customFormat="1" ht="14.5" hidden="1">
      <c r="AT618" s="77"/>
    </row>
    <row r="619" spans="46:46" customFormat="1" ht="14.5" hidden="1">
      <c r="AT619" s="77"/>
    </row>
    <row r="620" spans="46:46" customFormat="1" ht="14.5" hidden="1">
      <c r="AT620" s="77"/>
    </row>
    <row r="621" spans="46:46" customFormat="1" ht="14.5" hidden="1">
      <c r="AT621" s="77"/>
    </row>
    <row r="622" spans="46:46" customFormat="1" ht="14.5" hidden="1">
      <c r="AT622" s="77"/>
    </row>
    <row r="623" spans="46:46" customFormat="1" ht="14.5" hidden="1">
      <c r="AT623" s="77"/>
    </row>
    <row r="624" spans="46:46" customFormat="1" ht="14.5" hidden="1">
      <c r="AT624" s="77"/>
    </row>
    <row r="625" spans="46:46" customFormat="1" ht="14.5" hidden="1">
      <c r="AT625" s="77"/>
    </row>
    <row r="626" spans="46:46" customFormat="1" ht="14.5" hidden="1">
      <c r="AT626" s="77"/>
    </row>
    <row r="627" spans="46:46" customFormat="1" ht="14.5" hidden="1">
      <c r="AT627" s="77"/>
    </row>
    <row r="628" spans="46:46" customFormat="1" ht="14.5" hidden="1">
      <c r="AT628" s="77"/>
    </row>
    <row r="629" spans="46:46" customFormat="1" ht="14.5" hidden="1">
      <c r="AT629" s="77"/>
    </row>
    <row r="630" spans="46:46" customFormat="1" ht="14.5" hidden="1">
      <c r="AT630" s="77"/>
    </row>
    <row r="631" spans="46:46" customFormat="1" ht="14.5" hidden="1">
      <c r="AT631" s="77"/>
    </row>
    <row r="632" spans="46:46" customFormat="1" ht="14.5" hidden="1">
      <c r="AT632" s="77"/>
    </row>
    <row r="633" spans="46:46" customFormat="1" ht="14.5" hidden="1">
      <c r="AT633" s="77"/>
    </row>
    <row r="634" spans="46:46" customFormat="1" ht="14.5" hidden="1">
      <c r="AT634" s="77"/>
    </row>
    <row r="635" spans="46:46" customFormat="1" ht="14.5" hidden="1">
      <c r="AT635" s="77"/>
    </row>
    <row r="636" spans="46:46" customFormat="1" ht="14.5" hidden="1">
      <c r="AT636" s="77"/>
    </row>
    <row r="637" spans="46:46" customFormat="1" ht="14.5" hidden="1">
      <c r="AT637" s="77"/>
    </row>
    <row r="638" spans="46:46" customFormat="1" ht="14.5" hidden="1">
      <c r="AT638" s="77"/>
    </row>
    <row r="639" spans="46:46" customFormat="1" ht="14.5" hidden="1">
      <c r="AT639" s="77"/>
    </row>
    <row r="640" spans="46:46" customFormat="1" ht="14.5" hidden="1">
      <c r="AT640" s="77"/>
    </row>
    <row r="641" spans="46:46" customFormat="1" ht="14.5" hidden="1">
      <c r="AT641" s="77"/>
    </row>
    <row r="642" spans="46:46" customFormat="1" ht="14.5" hidden="1">
      <c r="AT642" s="77"/>
    </row>
    <row r="643" spans="46:46" customFormat="1" ht="14.5" hidden="1">
      <c r="AT643" s="77"/>
    </row>
    <row r="644" spans="46:46" customFormat="1" ht="14.5" hidden="1">
      <c r="AT644" s="77"/>
    </row>
    <row r="645" spans="46:46" customFormat="1" ht="14.5" hidden="1">
      <c r="AT645" s="77"/>
    </row>
    <row r="646" spans="46:46" customFormat="1" ht="14.5" hidden="1">
      <c r="AT646" s="77"/>
    </row>
    <row r="647" spans="46:46" customFormat="1" ht="14.5" hidden="1">
      <c r="AT647" s="77"/>
    </row>
    <row r="648" spans="46:46" customFormat="1" ht="14.5" hidden="1">
      <c r="AT648" s="77"/>
    </row>
    <row r="649" spans="46:46" customFormat="1" ht="14.5" hidden="1">
      <c r="AT649" s="77"/>
    </row>
    <row r="650" spans="46:46" customFormat="1" ht="14.5" hidden="1">
      <c r="AT650" s="77"/>
    </row>
    <row r="651" spans="46:46" customFormat="1" ht="14.5" hidden="1">
      <c r="AT651" s="77"/>
    </row>
    <row r="652" spans="46:46" customFormat="1" ht="14.5" hidden="1">
      <c r="AT652" s="77"/>
    </row>
    <row r="653" spans="46:46" customFormat="1" ht="14.5" hidden="1">
      <c r="AT653" s="77"/>
    </row>
    <row r="654" spans="46:46" customFormat="1" ht="14.5" hidden="1">
      <c r="AT654" s="77"/>
    </row>
    <row r="655" spans="46:46" customFormat="1" ht="14.5" hidden="1">
      <c r="AT655" s="77"/>
    </row>
    <row r="656" spans="46:46" customFormat="1" ht="14.5" hidden="1">
      <c r="AT656" s="77"/>
    </row>
    <row r="657" spans="46:46" customFormat="1" ht="14.5" hidden="1">
      <c r="AT657" s="77"/>
    </row>
    <row r="658" spans="46:46" customFormat="1" ht="14.5" hidden="1">
      <c r="AT658" s="77"/>
    </row>
    <row r="659" spans="46:46" customFormat="1" ht="14.5" hidden="1">
      <c r="AT659" s="77"/>
    </row>
    <row r="660" spans="46:46" customFormat="1" ht="14.5" hidden="1">
      <c r="AT660" s="77"/>
    </row>
    <row r="661" spans="46:46" customFormat="1" ht="14.5" hidden="1">
      <c r="AT661" s="77"/>
    </row>
    <row r="662" spans="46:46" customFormat="1" ht="14.5" hidden="1">
      <c r="AT662" s="77"/>
    </row>
    <row r="663" spans="46:46" customFormat="1" ht="14.5" hidden="1">
      <c r="AT663" s="77"/>
    </row>
    <row r="664" spans="46:46" customFormat="1" ht="14.5" hidden="1">
      <c r="AT664" s="77"/>
    </row>
    <row r="665" spans="46:46" customFormat="1" ht="14.5" hidden="1">
      <c r="AT665" s="77"/>
    </row>
    <row r="666" spans="46:46" customFormat="1" ht="14.5" hidden="1">
      <c r="AT666" s="77"/>
    </row>
    <row r="667" spans="46:46" customFormat="1" ht="14.5" hidden="1">
      <c r="AT667" s="77"/>
    </row>
    <row r="668" spans="46:46" customFormat="1" ht="14.5" hidden="1">
      <c r="AT668" s="77"/>
    </row>
    <row r="669" spans="46:46" customFormat="1" ht="14.5" hidden="1">
      <c r="AT669" s="77"/>
    </row>
    <row r="670" spans="46:46" customFormat="1" ht="14.5" hidden="1">
      <c r="AT670" s="77"/>
    </row>
    <row r="671" spans="46:46" customFormat="1" ht="14.5" hidden="1">
      <c r="AT671" s="77"/>
    </row>
    <row r="672" spans="46:46" customFormat="1" ht="14.5" hidden="1">
      <c r="AT672" s="77"/>
    </row>
    <row r="673" spans="46:46" customFormat="1" ht="14.5" hidden="1">
      <c r="AT673" s="77"/>
    </row>
    <row r="674" spans="46:46" customFormat="1" ht="14.5" hidden="1">
      <c r="AT674" s="77"/>
    </row>
    <row r="675" spans="46:46" customFormat="1" ht="14.5" hidden="1">
      <c r="AT675" s="77"/>
    </row>
    <row r="676" spans="46:46" customFormat="1" ht="14.5" hidden="1">
      <c r="AT676" s="77"/>
    </row>
    <row r="677" spans="46:46" customFormat="1" ht="14.5" hidden="1">
      <c r="AT677" s="77"/>
    </row>
    <row r="678" spans="46:46" customFormat="1" ht="14.5" hidden="1">
      <c r="AT678" s="77"/>
    </row>
    <row r="679" spans="46:46" customFormat="1" ht="14.5" hidden="1">
      <c r="AT679" s="77"/>
    </row>
    <row r="680" spans="46:46" customFormat="1" ht="14.5" hidden="1">
      <c r="AT680" s="77"/>
    </row>
    <row r="681" spans="46:46" customFormat="1" ht="14.5" hidden="1">
      <c r="AT681" s="77"/>
    </row>
    <row r="682" spans="46:46" customFormat="1" ht="14.5" hidden="1">
      <c r="AT682" s="77"/>
    </row>
    <row r="683" spans="46:46" customFormat="1" ht="14.5" hidden="1">
      <c r="AT683" s="77"/>
    </row>
    <row r="684" spans="46:46" customFormat="1" ht="14.5" hidden="1">
      <c r="AT684" s="77"/>
    </row>
    <row r="685" spans="46:46" customFormat="1" ht="14.5" hidden="1">
      <c r="AT685" s="77"/>
    </row>
    <row r="686" spans="46:46" customFormat="1" ht="14.5" hidden="1">
      <c r="AT686" s="77"/>
    </row>
    <row r="687" spans="46:46" customFormat="1" ht="14.5" hidden="1">
      <c r="AT687" s="77"/>
    </row>
    <row r="688" spans="46:46" customFormat="1" ht="14.5" hidden="1">
      <c r="AT688" s="77"/>
    </row>
    <row r="689" spans="46:46" customFormat="1" ht="14.5" hidden="1">
      <c r="AT689" s="77"/>
    </row>
    <row r="690" spans="46:46" customFormat="1" ht="14.5" hidden="1">
      <c r="AT690" s="77"/>
    </row>
    <row r="691" spans="46:46" customFormat="1" ht="14.5" hidden="1">
      <c r="AT691" s="77"/>
    </row>
    <row r="692" spans="46:46" customFormat="1" ht="14.5" hidden="1">
      <c r="AT692" s="77"/>
    </row>
    <row r="693" spans="46:46" customFormat="1" ht="14.5" hidden="1">
      <c r="AT693" s="77"/>
    </row>
    <row r="694" spans="46:46" customFormat="1" ht="14.5" hidden="1">
      <c r="AT694" s="77"/>
    </row>
    <row r="695" spans="46:46" customFormat="1" ht="14.5" hidden="1">
      <c r="AT695" s="77"/>
    </row>
    <row r="696" spans="46:46" customFormat="1" ht="14.5" hidden="1">
      <c r="AT696" s="77"/>
    </row>
    <row r="697" spans="46:46" customFormat="1" ht="14.5" hidden="1">
      <c r="AT697" s="77"/>
    </row>
    <row r="698" spans="46:46" customFormat="1" ht="14.5" hidden="1">
      <c r="AT698" s="77"/>
    </row>
    <row r="699" spans="46:46" customFormat="1" ht="14.5" hidden="1">
      <c r="AT699" s="77"/>
    </row>
    <row r="700" spans="46:46" customFormat="1" ht="14.5" hidden="1">
      <c r="AT700" s="77"/>
    </row>
    <row r="701" spans="46:46" customFormat="1" ht="14.5" hidden="1">
      <c r="AT701" s="77"/>
    </row>
    <row r="702" spans="46:46" customFormat="1" ht="14.5" hidden="1">
      <c r="AT702" s="77"/>
    </row>
    <row r="703" spans="46:46" customFormat="1" ht="14.5" hidden="1">
      <c r="AT703" s="77"/>
    </row>
    <row r="704" spans="46:46" customFormat="1" ht="14.5" hidden="1">
      <c r="AT704" s="77"/>
    </row>
    <row r="705" spans="46:46" customFormat="1" ht="14.5" hidden="1">
      <c r="AT705" s="77"/>
    </row>
    <row r="706" spans="46:46" customFormat="1" ht="14.5" hidden="1">
      <c r="AT706" s="77"/>
    </row>
    <row r="707" spans="46:46" customFormat="1" ht="14.5" hidden="1">
      <c r="AT707" s="77"/>
    </row>
    <row r="708" spans="46:46" customFormat="1" ht="14.5" hidden="1">
      <c r="AT708" s="77"/>
    </row>
    <row r="709" spans="46:46" customFormat="1" ht="14.5" hidden="1">
      <c r="AT709" s="77"/>
    </row>
    <row r="710" spans="46:46" customFormat="1" ht="14.5" hidden="1">
      <c r="AT710" s="77"/>
    </row>
    <row r="711" spans="46:46" customFormat="1" ht="14.5" hidden="1">
      <c r="AT711" s="77"/>
    </row>
    <row r="712" spans="46:46" customFormat="1" ht="14.5" hidden="1">
      <c r="AT712" s="77"/>
    </row>
    <row r="713" spans="46:46" customFormat="1" ht="14.5" hidden="1">
      <c r="AT713" s="77"/>
    </row>
    <row r="714" spans="46:46" customFormat="1" ht="14.5" hidden="1">
      <c r="AT714" s="77"/>
    </row>
    <row r="715" spans="46:46" customFormat="1" ht="14.5" hidden="1">
      <c r="AT715" s="77"/>
    </row>
    <row r="716" spans="46:46" customFormat="1" ht="14.5" hidden="1">
      <c r="AT716" s="77"/>
    </row>
    <row r="717" spans="46:46" customFormat="1" ht="14.5" hidden="1">
      <c r="AT717" s="77"/>
    </row>
    <row r="718" spans="46:46" customFormat="1" ht="14.5" hidden="1">
      <c r="AT718" s="77"/>
    </row>
    <row r="719" spans="46:46" customFormat="1" ht="14.5" hidden="1">
      <c r="AT719" s="77"/>
    </row>
    <row r="720" spans="46:46" customFormat="1" ht="14.5" hidden="1">
      <c r="AT720" s="77"/>
    </row>
    <row r="721" spans="46:46" customFormat="1" ht="14.5" hidden="1">
      <c r="AT721" s="77"/>
    </row>
    <row r="722" spans="46:46" customFormat="1" ht="14.5" hidden="1">
      <c r="AT722" s="77"/>
    </row>
    <row r="723" spans="46:46" customFormat="1" ht="14.5" hidden="1">
      <c r="AT723" s="77"/>
    </row>
    <row r="724" spans="46:46" customFormat="1" ht="14.5" hidden="1">
      <c r="AT724" s="77"/>
    </row>
    <row r="725" spans="46:46" customFormat="1" ht="14.5" hidden="1">
      <c r="AT725" s="77"/>
    </row>
    <row r="726" spans="46:46" customFormat="1" ht="14.5" hidden="1">
      <c r="AT726" s="77"/>
    </row>
    <row r="727" spans="46:46" customFormat="1" ht="14.5" hidden="1">
      <c r="AT727" s="77"/>
    </row>
    <row r="728" spans="46:46" customFormat="1" ht="14.5" hidden="1">
      <c r="AT728" s="77"/>
    </row>
    <row r="729" spans="46:46" customFormat="1" ht="14.5" hidden="1">
      <c r="AT729" s="77"/>
    </row>
    <row r="730" spans="46:46" customFormat="1" ht="14.5" hidden="1">
      <c r="AT730" s="77"/>
    </row>
    <row r="731" spans="46:46" customFormat="1" ht="14.5" hidden="1">
      <c r="AT731" s="77"/>
    </row>
    <row r="732" spans="46:46" customFormat="1" ht="14.5" hidden="1">
      <c r="AT732" s="77"/>
    </row>
    <row r="733" spans="46:46" customFormat="1" ht="14.5" hidden="1">
      <c r="AT733" s="77"/>
    </row>
    <row r="734" spans="46:46" customFormat="1" ht="14.5" hidden="1">
      <c r="AT734" s="77"/>
    </row>
    <row r="735" spans="46:46" customFormat="1" ht="14.5" hidden="1">
      <c r="AT735" s="77"/>
    </row>
    <row r="736" spans="46:46" customFormat="1" ht="14.5" hidden="1">
      <c r="AT736" s="77"/>
    </row>
    <row r="737" spans="46:46" customFormat="1" ht="14.5" hidden="1">
      <c r="AT737" s="77"/>
    </row>
    <row r="738" spans="46:46" customFormat="1" ht="14.5" hidden="1">
      <c r="AT738" s="77"/>
    </row>
    <row r="739" spans="46:46" customFormat="1" ht="14.5" hidden="1">
      <c r="AT739" s="77"/>
    </row>
    <row r="740" spans="46:46" customFormat="1" ht="14.5" hidden="1">
      <c r="AT740" s="77"/>
    </row>
    <row r="741" spans="46:46" customFormat="1" ht="14.5" hidden="1">
      <c r="AT741" s="77"/>
    </row>
    <row r="742" spans="46:46" customFormat="1" ht="14.5" hidden="1">
      <c r="AT742" s="77"/>
    </row>
    <row r="743" spans="46:46" customFormat="1" ht="14.5" hidden="1">
      <c r="AT743" s="77"/>
    </row>
    <row r="744" spans="46:46" customFormat="1" ht="14.5" hidden="1">
      <c r="AT744" s="77"/>
    </row>
    <row r="745" spans="46:46" customFormat="1" ht="14.5" hidden="1">
      <c r="AT745" s="77"/>
    </row>
    <row r="746" spans="46:46" customFormat="1" ht="14.5" hidden="1">
      <c r="AT746" s="77"/>
    </row>
    <row r="747" spans="46:46" customFormat="1" ht="14.5" hidden="1">
      <c r="AT747" s="77"/>
    </row>
    <row r="748" spans="46:46" customFormat="1" ht="14.5" hidden="1">
      <c r="AT748" s="77"/>
    </row>
    <row r="749" spans="46:46" customFormat="1" ht="14.5" hidden="1">
      <c r="AT749" s="77"/>
    </row>
    <row r="750" spans="46:46" customFormat="1" ht="14.5" hidden="1">
      <c r="AT750" s="77"/>
    </row>
    <row r="751" spans="46:46" customFormat="1" ht="14.5" hidden="1">
      <c r="AT751" s="77"/>
    </row>
    <row r="752" spans="46:46" customFormat="1" ht="14.5" hidden="1">
      <c r="AT752" s="77"/>
    </row>
    <row r="753" spans="46:46" customFormat="1" ht="14.5" hidden="1">
      <c r="AT753" s="77"/>
    </row>
    <row r="754" spans="46:46" customFormat="1" ht="14.5" hidden="1">
      <c r="AT754" s="77"/>
    </row>
    <row r="755" spans="46:46" customFormat="1" ht="14.5" hidden="1">
      <c r="AT755" s="77"/>
    </row>
    <row r="756" spans="46:46" customFormat="1" ht="14.5" hidden="1">
      <c r="AT756" s="77"/>
    </row>
    <row r="757" spans="46:46" customFormat="1" ht="14.5" hidden="1">
      <c r="AT757" s="77"/>
    </row>
    <row r="758" spans="46:46" customFormat="1" ht="14.5" hidden="1">
      <c r="AT758" s="77"/>
    </row>
    <row r="759" spans="46:46" customFormat="1" ht="14.5" hidden="1">
      <c r="AT759" s="77"/>
    </row>
    <row r="760" spans="46:46" customFormat="1" ht="14.5" hidden="1">
      <c r="AT760" s="77"/>
    </row>
    <row r="761" spans="46:46" customFormat="1" ht="14.5" hidden="1">
      <c r="AT761" s="77"/>
    </row>
    <row r="762" spans="46:46" customFormat="1" ht="14.5" hidden="1">
      <c r="AT762" s="77"/>
    </row>
    <row r="763" spans="46:46" customFormat="1" ht="14.5" hidden="1">
      <c r="AT763" s="77"/>
    </row>
    <row r="764" spans="46:46" customFormat="1" ht="14.5" hidden="1">
      <c r="AT764" s="77"/>
    </row>
    <row r="765" spans="46:46" customFormat="1" ht="14.5" hidden="1">
      <c r="AT765" s="77"/>
    </row>
    <row r="766" spans="46:46" customFormat="1" ht="14.5" hidden="1">
      <c r="AT766" s="77"/>
    </row>
    <row r="767" spans="46:46" customFormat="1" ht="14.5" hidden="1">
      <c r="AT767" s="77"/>
    </row>
    <row r="768" spans="46:46" customFormat="1" ht="14.5" hidden="1">
      <c r="AT768" s="77"/>
    </row>
    <row r="769" spans="46:46" customFormat="1" ht="14.5" hidden="1">
      <c r="AT769" s="77"/>
    </row>
    <row r="770" spans="46:46" customFormat="1" ht="14.5" hidden="1">
      <c r="AT770" s="77"/>
    </row>
    <row r="771" spans="46:46" customFormat="1" ht="14.5" hidden="1">
      <c r="AT771" s="77"/>
    </row>
    <row r="772" spans="46:46" customFormat="1" ht="14.5" hidden="1">
      <c r="AT772" s="77"/>
    </row>
    <row r="773" spans="46:46" customFormat="1" ht="14.5" hidden="1">
      <c r="AT773" s="77"/>
    </row>
    <row r="774" spans="46:46" customFormat="1" ht="14.5" hidden="1">
      <c r="AT774" s="77"/>
    </row>
    <row r="775" spans="46:46" customFormat="1" ht="14.5" hidden="1">
      <c r="AT775" s="77"/>
    </row>
    <row r="776" spans="46:46" customFormat="1" ht="14.5" hidden="1">
      <c r="AT776" s="77"/>
    </row>
    <row r="777" spans="46:46" customFormat="1" ht="14.5" hidden="1">
      <c r="AT777" s="77"/>
    </row>
    <row r="778" spans="46:46" customFormat="1" ht="14.5" hidden="1">
      <c r="AT778" s="77"/>
    </row>
    <row r="779" spans="46:46" customFormat="1" ht="14.5" hidden="1">
      <c r="AT779" s="77"/>
    </row>
    <row r="780" spans="46:46" customFormat="1" ht="14.5" hidden="1">
      <c r="AT780" s="77"/>
    </row>
    <row r="781" spans="46:46" customFormat="1" ht="14.5" hidden="1">
      <c r="AT781" s="77"/>
    </row>
    <row r="782" spans="46:46" customFormat="1" ht="14.5" hidden="1">
      <c r="AT782" s="77"/>
    </row>
    <row r="783" spans="46:46" customFormat="1" ht="14.5" hidden="1">
      <c r="AT783" s="77"/>
    </row>
    <row r="784" spans="46:46" customFormat="1" ht="14.5" hidden="1">
      <c r="AT784" s="77"/>
    </row>
    <row r="785" spans="46:46" customFormat="1" ht="14.5" hidden="1">
      <c r="AT785" s="77"/>
    </row>
    <row r="786" spans="46:46" customFormat="1" ht="14.5" hidden="1">
      <c r="AT786" s="77"/>
    </row>
    <row r="787" spans="46:46" customFormat="1" ht="14.5" hidden="1">
      <c r="AT787" s="77"/>
    </row>
    <row r="788" spans="46:46" customFormat="1" ht="14.5" hidden="1">
      <c r="AT788" s="77"/>
    </row>
    <row r="789" spans="46:46" customFormat="1" ht="14.5" hidden="1">
      <c r="AT789" s="77"/>
    </row>
    <row r="790" spans="46:46" customFormat="1" ht="14.5" hidden="1">
      <c r="AT790" s="77"/>
    </row>
    <row r="791" spans="46:46" customFormat="1" ht="14.5" hidden="1">
      <c r="AT791" s="77"/>
    </row>
    <row r="792" spans="46:46" customFormat="1" ht="14.5" hidden="1">
      <c r="AT792" s="77"/>
    </row>
    <row r="793" spans="46:46" customFormat="1" ht="14.5" hidden="1">
      <c r="AT793" s="77"/>
    </row>
    <row r="794" spans="46:46" customFormat="1" ht="14.5" hidden="1">
      <c r="AT794" s="77"/>
    </row>
    <row r="795" spans="46:46" customFormat="1" ht="14.5" hidden="1">
      <c r="AT795" s="77"/>
    </row>
    <row r="796" spans="46:46" customFormat="1" ht="14.5" hidden="1">
      <c r="AT796" s="77"/>
    </row>
    <row r="797" spans="46:46" customFormat="1" ht="14.5" hidden="1">
      <c r="AT797" s="77"/>
    </row>
    <row r="798" spans="46:46" customFormat="1" ht="14.5" hidden="1">
      <c r="AT798" s="77"/>
    </row>
    <row r="799" spans="46:46" customFormat="1" ht="14.5" hidden="1">
      <c r="AT799" s="77"/>
    </row>
    <row r="800" spans="46:46" customFormat="1" ht="14.5" hidden="1">
      <c r="AT800" s="77"/>
    </row>
    <row r="801" spans="46:46" customFormat="1" ht="14.5" hidden="1">
      <c r="AT801" s="77"/>
    </row>
    <row r="802" spans="46:46" customFormat="1" ht="14.5" hidden="1">
      <c r="AT802" s="77"/>
    </row>
    <row r="803" spans="46:46" customFormat="1" ht="14.5" hidden="1">
      <c r="AT803" s="77"/>
    </row>
    <row r="804" spans="46:46" customFormat="1" ht="14.5" hidden="1">
      <c r="AT804" s="77"/>
    </row>
    <row r="805" spans="46:46" customFormat="1" ht="14.5" hidden="1">
      <c r="AT805" s="77"/>
    </row>
    <row r="806" spans="46:46" customFormat="1" ht="14.5" hidden="1">
      <c r="AT806" s="77"/>
    </row>
    <row r="807" spans="46:46" customFormat="1" ht="14.5" hidden="1">
      <c r="AT807" s="77"/>
    </row>
    <row r="808" spans="46:46" customFormat="1" ht="14.5" hidden="1">
      <c r="AT808" s="77"/>
    </row>
    <row r="809" spans="46:46" customFormat="1" ht="14.5" hidden="1">
      <c r="AT809" s="77"/>
    </row>
    <row r="810" spans="46:46" customFormat="1" ht="14.5" hidden="1">
      <c r="AT810" s="77"/>
    </row>
    <row r="811" spans="46:46" customFormat="1" ht="14.5" hidden="1">
      <c r="AT811" s="77"/>
    </row>
    <row r="812" spans="46:46" customFormat="1" ht="14.5" hidden="1">
      <c r="AT812" s="77"/>
    </row>
    <row r="813" spans="46:46" customFormat="1" ht="14.5" hidden="1">
      <c r="AT813" s="77"/>
    </row>
    <row r="814" spans="46:46" customFormat="1" ht="14.5" hidden="1">
      <c r="AT814" s="77"/>
    </row>
    <row r="815" spans="46:46" customFormat="1" ht="14.5" hidden="1">
      <c r="AT815" s="77"/>
    </row>
    <row r="816" spans="46:46" customFormat="1" ht="14.5" hidden="1">
      <c r="AT816" s="77"/>
    </row>
    <row r="817" spans="1:65" customFormat="1" ht="14.5" hidden="1">
      <c r="AT817" s="77"/>
    </row>
    <row r="818" spans="1:65" customFormat="1" ht="14.5" hidden="1">
      <c r="AT818" s="77"/>
    </row>
    <row r="819" spans="1:65" customFormat="1" ht="14.5" hidden="1">
      <c r="AT819" s="77"/>
    </row>
    <row r="820" spans="1:65" customFormat="1" ht="14.5" hidden="1">
      <c r="AT820" s="77"/>
    </row>
    <row r="821" spans="1:65" customFormat="1" ht="14.5" hidden="1">
      <c r="AT821" s="77"/>
    </row>
    <row r="822" spans="1:65" customFormat="1" ht="14.5" hidden="1">
      <c r="AT822" s="77"/>
    </row>
    <row r="823" spans="1:65" s="44" customFormat="1" hidden="1">
      <c r="A823" s="8"/>
      <c r="B823" s="8"/>
      <c r="C823"/>
      <c r="D823"/>
      <c r="E823" s="43"/>
      <c r="F823" s="43"/>
      <c r="G823" s="43"/>
      <c r="H823" s="43"/>
      <c r="I823" s="43"/>
      <c r="J823" s="43"/>
      <c r="K823" s="43"/>
      <c r="L823" s="43"/>
      <c r="M823" s="43"/>
      <c r="N823" s="43"/>
      <c r="O823" s="43"/>
      <c r="P823" s="43"/>
      <c r="Q823" s="43"/>
      <c r="R823" s="43"/>
      <c r="S823" s="43"/>
      <c r="T823" s="43"/>
      <c r="U823" s="43"/>
      <c r="V823" s="43"/>
      <c r="W823" s="43"/>
      <c r="X823" s="43"/>
      <c r="Y823" s="43"/>
      <c r="Z823" s="43"/>
      <c r="AA823" s="43"/>
      <c r="AB823" s="43"/>
      <c r="AC823" s="43"/>
      <c r="AD823" s="43"/>
      <c r="AE823" s="43"/>
      <c r="AF823" s="43"/>
      <c r="AG823" s="43"/>
      <c r="AH823" s="43"/>
      <c r="AI823" s="43"/>
      <c r="AJ823" s="43"/>
      <c r="AK823" s="43"/>
      <c r="AL823" s="43"/>
      <c r="AM823" s="43"/>
      <c r="AN823" s="43"/>
      <c r="AO823" s="43"/>
      <c r="AP823" s="43"/>
      <c r="AQ823" s="43"/>
      <c r="AR823" s="43"/>
      <c r="AS823" s="43"/>
      <c r="AT823" s="76"/>
      <c r="AU823" s="43"/>
      <c r="AV823" s="43"/>
      <c r="AW823" s="43"/>
      <c r="AX823" s="43"/>
      <c r="AY823" s="43"/>
      <c r="AZ823" s="43"/>
      <c r="BE823" s="43"/>
      <c r="BF823" s="43"/>
      <c r="BG823" s="8"/>
      <c r="BH823" s="8"/>
      <c r="BI823" s="8"/>
      <c r="BJ823" s="8"/>
      <c r="BK823" s="8"/>
      <c r="BL823" s="8"/>
      <c r="BM823" s="8"/>
    </row>
    <row r="824" spans="1:65" s="44" customFormat="1" hidden="1">
      <c r="A824" s="8"/>
      <c r="B824" s="8"/>
      <c r="C824"/>
      <c r="D824"/>
      <c r="E824" s="43"/>
      <c r="F824" s="43"/>
      <c r="G824" s="43"/>
      <c r="H824" s="43"/>
      <c r="I824" s="43"/>
      <c r="J824" s="43"/>
      <c r="K824" s="43"/>
      <c r="L824" s="43"/>
      <c r="M824" s="43"/>
      <c r="N824" s="43"/>
      <c r="O824" s="43"/>
      <c r="P824" s="43"/>
      <c r="Q824" s="43"/>
      <c r="R824" s="43"/>
      <c r="S824" s="43"/>
      <c r="T824" s="43"/>
      <c r="U824" s="43"/>
      <c r="V824" s="43"/>
      <c r="W824" s="43"/>
      <c r="X824" s="43"/>
      <c r="Y824" s="43"/>
      <c r="Z824" s="43"/>
      <c r="AA824" s="43"/>
      <c r="AB824" s="43"/>
      <c r="AC824" s="43"/>
      <c r="AD824" s="43"/>
      <c r="AE824" s="43"/>
      <c r="AF824" s="43"/>
      <c r="AG824" s="43"/>
      <c r="AH824" s="43"/>
      <c r="AI824" s="43"/>
      <c r="AJ824" s="43"/>
      <c r="AK824" s="43"/>
      <c r="AL824" s="43"/>
      <c r="AM824" s="43"/>
      <c r="AN824" s="43"/>
      <c r="AO824" s="43"/>
      <c r="AP824" s="43"/>
      <c r="AQ824" s="43"/>
      <c r="AR824" s="43"/>
      <c r="AS824" s="43"/>
      <c r="AT824" s="76"/>
      <c r="AU824" s="43"/>
      <c r="AV824" s="43"/>
      <c r="AW824" s="43"/>
      <c r="AX824" s="43"/>
      <c r="AY824" s="43"/>
      <c r="AZ824" s="43"/>
      <c r="BE824" s="43"/>
      <c r="BF824" s="43"/>
      <c r="BG824" s="8"/>
      <c r="BH824" s="8"/>
      <c r="BI824" s="8"/>
      <c r="BJ824" s="8"/>
      <c r="BK824" s="8"/>
      <c r="BL824" s="8"/>
      <c r="BM824" s="8"/>
    </row>
  </sheetData>
  <dataConsolidate/>
  <conditionalFormatting sqref="H1 I7">
    <cfRule type="cellIs" dxfId="20" priority="3" operator="equal">
      <formula>"ERROR"</formula>
    </cfRule>
  </conditionalFormatting>
  <conditionalFormatting sqref="I10:I11 I13:I14 I16:I17 I19:I21 I23:I24 I26:I27 I29:I30">
    <cfRule type="cellIs" dxfId="19" priority="2" operator="greaterThan">
      <formula>0</formula>
    </cfRule>
  </conditionalFormatting>
  <pageMargins left="0.23622047244094491" right="0.23622047244094491" top="0.74803149606299213" bottom="0.74803149606299213" header="0.31496062992125984" footer="0.31496062992125984"/>
  <pageSetup paperSize="8" fitToHeight="0" orientation="portrait" r:id="rId1"/>
  <headerFooter>
    <oddFooter>&amp;LDraft at &amp;D_x000D_&amp;1#&amp;"Aptos"&amp;10&amp;K000000 National Gas | Business Use&amp;R"&amp;A" sheet&amp;R"&amp;A" sheet&amp;R"&amp;A" sheet&amp;R"&amp;A" sheet&amp;R"&amp;A" sheet&amp;R"&amp;A" sheet&amp;R"&amp;A" sheet&amp;R"&amp;A" sheet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05689-A949-451D-AB1A-D1701DAB3C1B}">
  <sheetPr codeName="Sheet3">
    <tabColor rgb="FFE9D2C6"/>
    <pageSetUpPr autoPageBreaks="0"/>
  </sheetPr>
  <dimension ref="A1:XFD389"/>
  <sheetViews>
    <sheetView workbookViewId="0">
      <pane ySplit="1" topLeftCell="A305" activePane="bottomLeft" state="frozen"/>
      <selection pane="bottomLeft" activeCell="C328" sqref="C328"/>
    </sheetView>
  </sheetViews>
  <sheetFormatPr defaultColWidth="0" defaultRowHeight="14.5" zeroHeight="1"/>
  <cols>
    <col min="1" max="1" width="10.36328125" bestFit="1" customWidth="1"/>
    <col min="2" max="6" width="22.36328125" bestFit="1" customWidth="1"/>
    <col min="7" max="7" width="9.08984375" customWidth="1"/>
    <col min="8" max="8" width="1.7265625" customWidth="1"/>
    <col min="9" max="16383" width="9.08984375" hidden="1"/>
    <col min="16384" max="16384" width="4.36328125" customWidth="1"/>
  </cols>
  <sheetData>
    <row r="1" spans="1:6" ht="17" thickBot="1">
      <c r="A1" s="14" t="s">
        <v>235</v>
      </c>
      <c r="B1" s="14" t="s">
        <v>506</v>
      </c>
      <c r="C1" s="14" t="s">
        <v>979</v>
      </c>
      <c r="D1" s="14" t="s">
        <v>980</v>
      </c>
      <c r="E1" s="14" t="s">
        <v>827</v>
      </c>
      <c r="F1" s="14" t="s">
        <v>981</v>
      </c>
    </row>
    <row r="2" spans="1:6">
      <c r="A2" s="68">
        <v>36251</v>
      </c>
      <c r="B2" s="42">
        <v>165.2</v>
      </c>
      <c r="C2" s="37">
        <v>72.599999999999994</v>
      </c>
      <c r="D2" s="62" t="str">
        <f>IF(ISBLANK(C2),INDEX(NGT_TO!$AP$513:$AZ$513,MATCH(YEAR(EOMONTH(A2,15)),NGT_TO!$AP$512:$AZ$512,0))/100,"-")</f>
        <v>-</v>
      </c>
      <c r="E2" s="61">
        <f>IF(ISBLANK(C2),E1*((1+D2)^(1/12)),C2)</f>
        <v>72.599999999999994</v>
      </c>
      <c r="F2" s="61">
        <f t="shared" ref="F2:F65" si="0">IF(ISBLANK(B2),F1*(E2/E1),B2)</f>
        <v>165.2</v>
      </c>
    </row>
    <row r="3" spans="1:6">
      <c r="A3" s="68">
        <v>36281</v>
      </c>
      <c r="B3" s="42">
        <v>165.6</v>
      </c>
      <c r="C3" s="37">
        <v>72.8</v>
      </c>
      <c r="D3" s="62" t="str">
        <f>IF(ISBLANK(C3),INDEX(NGT_TO!$AP$513:$AZ$513,MATCH(YEAR(EOMONTH(A3,15)),NGT_TO!$AP$512:$AZ$512,0))/100,"-")</f>
        <v>-</v>
      </c>
      <c r="E3" s="61">
        <f t="shared" ref="E3:E66" si="1">IF(ISBLANK(C3),E2*((1+D3)^(1/12)),C3)</f>
        <v>72.8</v>
      </c>
      <c r="F3" s="61">
        <f t="shared" si="0"/>
        <v>165.6</v>
      </c>
    </row>
    <row r="4" spans="1:6">
      <c r="A4" s="68">
        <v>36312</v>
      </c>
      <c r="B4" s="42">
        <v>165.6</v>
      </c>
      <c r="C4" s="37">
        <v>72.7</v>
      </c>
      <c r="D4" s="62" t="str">
        <f>IF(ISBLANK(C4),INDEX(NGT_TO!$AP$513:$AZ$513,MATCH(YEAR(EOMONTH(A4,15)),NGT_TO!$AP$512:$AZ$512,0))/100,"-")</f>
        <v>-</v>
      </c>
      <c r="E4" s="61">
        <f t="shared" si="1"/>
        <v>72.7</v>
      </c>
      <c r="F4" s="61">
        <f t="shared" si="0"/>
        <v>165.6</v>
      </c>
    </row>
    <row r="5" spans="1:6">
      <c r="A5" s="68">
        <v>36342</v>
      </c>
      <c r="B5" s="42">
        <v>165.1</v>
      </c>
      <c r="C5" s="37">
        <v>72.400000000000006</v>
      </c>
      <c r="D5" s="62" t="str">
        <f>IF(ISBLANK(C5),INDEX(NGT_TO!$AP$513:$AZ$513,MATCH(YEAR(EOMONTH(A5,15)),NGT_TO!$AP$512:$AZ$512,0))/100,"-")</f>
        <v>-</v>
      </c>
      <c r="E5" s="61">
        <f t="shared" si="1"/>
        <v>72.400000000000006</v>
      </c>
      <c r="F5" s="61">
        <f t="shared" si="0"/>
        <v>165.1</v>
      </c>
    </row>
    <row r="6" spans="1:6">
      <c r="A6" s="68">
        <v>36373</v>
      </c>
      <c r="B6" s="42">
        <v>165.5</v>
      </c>
      <c r="C6" s="37">
        <v>72.599999999999994</v>
      </c>
      <c r="D6" s="62" t="str">
        <f>IF(ISBLANK(C6),INDEX(NGT_TO!$AP$513:$AZ$513,MATCH(YEAR(EOMONTH(A6,15)),NGT_TO!$AP$512:$AZ$512,0))/100,"-")</f>
        <v>-</v>
      </c>
      <c r="E6" s="61">
        <f t="shared" si="1"/>
        <v>72.599999999999994</v>
      </c>
      <c r="F6" s="61">
        <f t="shared" si="0"/>
        <v>165.5</v>
      </c>
    </row>
    <row r="7" spans="1:6">
      <c r="A7" s="68">
        <v>36404</v>
      </c>
      <c r="B7" s="42">
        <v>166.2</v>
      </c>
      <c r="C7" s="37">
        <v>72.8</v>
      </c>
      <c r="D7" s="62" t="str">
        <f>IF(ISBLANK(C7),INDEX(NGT_TO!$AP$513:$AZ$513,MATCH(YEAR(EOMONTH(A7,15)),NGT_TO!$AP$512:$AZ$512,0))/100,"-")</f>
        <v>-</v>
      </c>
      <c r="E7" s="61">
        <f t="shared" si="1"/>
        <v>72.8</v>
      </c>
      <c r="F7" s="61">
        <f t="shared" si="0"/>
        <v>166.2</v>
      </c>
    </row>
    <row r="8" spans="1:6">
      <c r="A8" s="68">
        <v>36434</v>
      </c>
      <c r="B8" s="42">
        <v>166.5</v>
      </c>
      <c r="C8" s="37">
        <v>72.8</v>
      </c>
      <c r="D8" s="62" t="str">
        <f>IF(ISBLANK(C8),INDEX(NGT_TO!$AP$513:$AZ$513,MATCH(YEAR(EOMONTH(A8,15)),NGT_TO!$AP$512:$AZ$512,0))/100,"-")</f>
        <v>-</v>
      </c>
      <c r="E8" s="61">
        <f t="shared" si="1"/>
        <v>72.8</v>
      </c>
      <c r="F8" s="61">
        <f t="shared" si="0"/>
        <v>166.5</v>
      </c>
    </row>
    <row r="9" spans="1:6">
      <c r="A9" s="68">
        <v>36465</v>
      </c>
      <c r="B9" s="42">
        <v>166.7</v>
      </c>
      <c r="C9" s="37">
        <v>72.900000000000006</v>
      </c>
      <c r="D9" s="62" t="str">
        <f>IF(ISBLANK(C9),INDEX(NGT_TO!$AP$513:$AZ$513,MATCH(YEAR(EOMONTH(A9,15)),NGT_TO!$AP$512:$AZ$512,0))/100,"-")</f>
        <v>-</v>
      </c>
      <c r="E9" s="61">
        <f t="shared" si="1"/>
        <v>72.900000000000006</v>
      </c>
      <c r="F9" s="61">
        <f t="shared" si="0"/>
        <v>166.7</v>
      </c>
    </row>
    <row r="10" spans="1:6">
      <c r="A10" s="68">
        <v>36495</v>
      </c>
      <c r="B10" s="42">
        <v>167.3</v>
      </c>
      <c r="C10" s="37">
        <v>73.099999999999994</v>
      </c>
      <c r="D10" s="62" t="str">
        <f>IF(ISBLANK(C10),INDEX(NGT_TO!$AP$513:$AZ$513,MATCH(YEAR(EOMONTH(A10,15)),NGT_TO!$AP$512:$AZ$512,0))/100,"-")</f>
        <v>-</v>
      </c>
      <c r="E10" s="61">
        <f t="shared" si="1"/>
        <v>73.099999999999994</v>
      </c>
      <c r="F10" s="61">
        <f t="shared" si="0"/>
        <v>167.3</v>
      </c>
    </row>
    <row r="11" spans="1:6">
      <c r="A11" s="68">
        <v>36526</v>
      </c>
      <c r="B11" s="42">
        <v>166.6</v>
      </c>
      <c r="C11" s="37">
        <v>72.599999999999994</v>
      </c>
      <c r="D11" s="62" t="str">
        <f>IF(ISBLANK(C11),INDEX(NGT_TO!$AP$513:$AZ$513,MATCH(YEAR(EOMONTH(A11,15)),NGT_TO!$AP$512:$AZ$512,0))/100,"-")</f>
        <v>-</v>
      </c>
      <c r="E11" s="61">
        <f t="shared" si="1"/>
        <v>72.599999999999994</v>
      </c>
      <c r="F11" s="61">
        <f t="shared" si="0"/>
        <v>166.6</v>
      </c>
    </row>
    <row r="12" spans="1:6">
      <c r="A12" s="68">
        <v>36557</v>
      </c>
      <c r="B12" s="42">
        <v>167.5</v>
      </c>
      <c r="C12" s="37">
        <v>72.8</v>
      </c>
      <c r="D12" s="62" t="str">
        <f>IF(ISBLANK(C12),INDEX(NGT_TO!$AP$513:$AZ$513,MATCH(YEAR(EOMONTH(A12,15)),NGT_TO!$AP$512:$AZ$512,0))/100,"-")</f>
        <v>-</v>
      </c>
      <c r="E12" s="61">
        <f t="shared" si="1"/>
        <v>72.8</v>
      </c>
      <c r="F12" s="61">
        <f t="shared" si="0"/>
        <v>167.5</v>
      </c>
    </row>
    <row r="13" spans="1:6">
      <c r="A13" s="68">
        <v>36586</v>
      </c>
      <c r="B13" s="42">
        <v>168.4</v>
      </c>
      <c r="C13" s="37">
        <v>73</v>
      </c>
      <c r="D13" s="62" t="str">
        <f>IF(ISBLANK(C13),INDEX(NGT_TO!$AP$513:$AZ$513,MATCH(YEAR(EOMONTH(A13,15)),NGT_TO!$AP$512:$AZ$512,0))/100,"-")</f>
        <v>-</v>
      </c>
      <c r="E13" s="61">
        <f t="shared" si="1"/>
        <v>73</v>
      </c>
      <c r="F13" s="61">
        <f t="shared" si="0"/>
        <v>168.4</v>
      </c>
    </row>
    <row r="14" spans="1:6">
      <c r="A14" s="68">
        <v>36617</v>
      </c>
      <c r="B14" s="42">
        <v>170.1</v>
      </c>
      <c r="C14" s="37">
        <v>73.3</v>
      </c>
      <c r="D14" s="62" t="str">
        <f>IF(ISBLANK(C14),INDEX(NGT_TO!$AP$513:$AZ$513,MATCH(YEAR(EOMONTH(A14,15)),NGT_TO!$AP$512:$AZ$512,0))/100,"-")</f>
        <v>-</v>
      </c>
      <c r="E14" s="61">
        <f t="shared" si="1"/>
        <v>73.3</v>
      </c>
      <c r="F14" s="61">
        <f t="shared" si="0"/>
        <v>170.1</v>
      </c>
    </row>
    <row r="15" spans="1:6">
      <c r="A15" s="68">
        <v>36647</v>
      </c>
      <c r="B15" s="42">
        <v>170.7</v>
      </c>
      <c r="C15" s="37">
        <v>73.5</v>
      </c>
      <c r="D15" s="62" t="str">
        <f>IF(ISBLANK(C15),INDEX(NGT_TO!$AP$513:$AZ$513,MATCH(YEAR(EOMONTH(A15,15)),NGT_TO!$AP$512:$AZ$512,0))/100,"-")</f>
        <v>-</v>
      </c>
      <c r="E15" s="61">
        <f t="shared" si="1"/>
        <v>73.5</v>
      </c>
      <c r="F15" s="61">
        <f t="shared" si="0"/>
        <v>170.7</v>
      </c>
    </row>
    <row r="16" spans="1:6">
      <c r="A16" s="68">
        <v>36678</v>
      </c>
      <c r="B16" s="42">
        <v>171.1</v>
      </c>
      <c r="C16" s="37">
        <v>73.599999999999994</v>
      </c>
      <c r="D16" s="62" t="str">
        <f>IF(ISBLANK(C16),INDEX(NGT_TO!$AP$513:$AZ$513,MATCH(YEAR(EOMONTH(A16,15)),NGT_TO!$AP$512:$AZ$512,0))/100,"-")</f>
        <v>-</v>
      </c>
      <c r="E16" s="61">
        <f t="shared" si="1"/>
        <v>73.599999999999994</v>
      </c>
      <c r="F16" s="61">
        <f t="shared" si="0"/>
        <v>171.1</v>
      </c>
    </row>
    <row r="17" spans="1:6">
      <c r="A17" s="68">
        <v>36708</v>
      </c>
      <c r="B17" s="42">
        <v>170.5</v>
      </c>
      <c r="C17" s="37">
        <v>73.3</v>
      </c>
      <c r="D17" s="62" t="str">
        <f>IF(ISBLANK(C17),INDEX(NGT_TO!$AP$513:$AZ$513,MATCH(YEAR(EOMONTH(A17,15)),NGT_TO!$AP$512:$AZ$512,0))/100,"-")</f>
        <v>-</v>
      </c>
      <c r="E17" s="61">
        <f t="shared" si="1"/>
        <v>73.3</v>
      </c>
      <c r="F17" s="61">
        <f t="shared" si="0"/>
        <v>170.5</v>
      </c>
    </row>
    <row r="18" spans="1:6">
      <c r="A18" s="68">
        <v>36739</v>
      </c>
      <c r="B18" s="42">
        <v>170.5</v>
      </c>
      <c r="C18" s="37">
        <v>73.3</v>
      </c>
      <c r="D18" s="62" t="str">
        <f>IF(ISBLANK(C18),INDEX(NGT_TO!$AP$513:$AZ$513,MATCH(YEAR(EOMONTH(A18,15)),NGT_TO!$AP$512:$AZ$512,0))/100,"-")</f>
        <v>-</v>
      </c>
      <c r="E18" s="61">
        <f t="shared" si="1"/>
        <v>73.3</v>
      </c>
      <c r="F18" s="61">
        <f t="shared" si="0"/>
        <v>170.5</v>
      </c>
    </row>
    <row r="19" spans="1:6">
      <c r="A19" s="68">
        <v>36770</v>
      </c>
      <c r="B19" s="42">
        <v>171.7</v>
      </c>
      <c r="C19" s="37">
        <v>73.8</v>
      </c>
      <c r="D19" s="62" t="str">
        <f>IF(ISBLANK(C19),INDEX(NGT_TO!$AP$513:$AZ$513,MATCH(YEAR(EOMONTH(A19,15)),NGT_TO!$AP$512:$AZ$512,0))/100,"-")</f>
        <v>-</v>
      </c>
      <c r="E19" s="61">
        <f t="shared" si="1"/>
        <v>73.8</v>
      </c>
      <c r="F19" s="61">
        <f t="shared" si="0"/>
        <v>171.7</v>
      </c>
    </row>
    <row r="20" spans="1:6">
      <c r="A20" s="68">
        <v>36800</v>
      </c>
      <c r="B20" s="42">
        <v>171.6</v>
      </c>
      <c r="C20" s="37">
        <v>73.8</v>
      </c>
      <c r="D20" s="62" t="str">
        <f>IF(ISBLANK(C20),INDEX(NGT_TO!$AP$513:$AZ$513,MATCH(YEAR(EOMONTH(A20,15)),NGT_TO!$AP$512:$AZ$512,0))/100,"-")</f>
        <v>-</v>
      </c>
      <c r="E20" s="61">
        <f t="shared" si="1"/>
        <v>73.8</v>
      </c>
      <c r="F20" s="61">
        <f t="shared" si="0"/>
        <v>171.6</v>
      </c>
    </row>
    <row r="21" spans="1:6">
      <c r="A21" s="68">
        <v>36831</v>
      </c>
      <c r="B21" s="42">
        <v>172.1</v>
      </c>
      <c r="C21" s="37">
        <v>74</v>
      </c>
      <c r="D21" s="62" t="str">
        <f>IF(ISBLANK(C21),INDEX(NGT_TO!$AP$513:$AZ$513,MATCH(YEAR(EOMONTH(A21,15)),NGT_TO!$AP$512:$AZ$512,0))/100,"-")</f>
        <v>-</v>
      </c>
      <c r="E21" s="61">
        <f t="shared" si="1"/>
        <v>74</v>
      </c>
      <c r="F21" s="61">
        <f t="shared" si="0"/>
        <v>172.1</v>
      </c>
    </row>
    <row r="22" spans="1:6">
      <c r="A22" s="68">
        <v>36861</v>
      </c>
      <c r="B22" s="42">
        <v>172.2</v>
      </c>
      <c r="C22" s="37">
        <v>74</v>
      </c>
      <c r="D22" s="62" t="str">
        <f>IF(ISBLANK(C22),INDEX(NGT_TO!$AP$513:$AZ$513,MATCH(YEAR(EOMONTH(A22,15)),NGT_TO!$AP$512:$AZ$512,0))/100,"-")</f>
        <v>-</v>
      </c>
      <c r="E22" s="61">
        <f t="shared" si="1"/>
        <v>74</v>
      </c>
      <c r="F22" s="61">
        <f t="shared" si="0"/>
        <v>172.2</v>
      </c>
    </row>
    <row r="23" spans="1:6">
      <c r="A23" s="68">
        <v>36892</v>
      </c>
      <c r="B23" s="42">
        <v>171.1</v>
      </c>
      <c r="C23" s="37">
        <v>73.5</v>
      </c>
      <c r="D23" s="62" t="str">
        <f>IF(ISBLANK(C23),INDEX(NGT_TO!$AP$513:$AZ$513,MATCH(YEAR(EOMONTH(A23,15)),NGT_TO!$AP$512:$AZ$512,0))/100,"-")</f>
        <v>-</v>
      </c>
      <c r="E23" s="61">
        <f t="shared" si="1"/>
        <v>73.5</v>
      </c>
      <c r="F23" s="61">
        <f t="shared" si="0"/>
        <v>171.1</v>
      </c>
    </row>
    <row r="24" spans="1:6">
      <c r="A24" s="68">
        <v>36923</v>
      </c>
      <c r="B24" s="42">
        <v>172</v>
      </c>
      <c r="C24" s="37">
        <v>73.7</v>
      </c>
      <c r="D24" s="62" t="str">
        <f>IF(ISBLANK(C24),INDEX(NGT_TO!$AP$513:$AZ$513,MATCH(YEAR(EOMONTH(A24,15)),NGT_TO!$AP$512:$AZ$512,0))/100,"-")</f>
        <v>-</v>
      </c>
      <c r="E24" s="61">
        <f t="shared" si="1"/>
        <v>73.7</v>
      </c>
      <c r="F24" s="61">
        <f t="shared" si="0"/>
        <v>172</v>
      </c>
    </row>
    <row r="25" spans="1:6">
      <c r="A25" s="68">
        <v>36951</v>
      </c>
      <c r="B25" s="42">
        <v>172.2</v>
      </c>
      <c r="C25" s="37">
        <v>73.900000000000006</v>
      </c>
      <c r="D25" s="62" t="str">
        <f>IF(ISBLANK(C25),INDEX(NGT_TO!$AP$513:$AZ$513,MATCH(YEAR(EOMONTH(A25,15)),NGT_TO!$AP$512:$AZ$512,0))/100,"-")</f>
        <v>-</v>
      </c>
      <c r="E25" s="61">
        <f t="shared" si="1"/>
        <v>73.900000000000006</v>
      </c>
      <c r="F25" s="61">
        <f t="shared" si="0"/>
        <v>172.2</v>
      </c>
    </row>
    <row r="26" spans="1:6">
      <c r="A26" s="68">
        <v>36982</v>
      </c>
      <c r="B26" s="42">
        <v>173.1</v>
      </c>
      <c r="C26" s="37">
        <v>74.400000000000006</v>
      </c>
      <c r="D26" s="62" t="str">
        <f>IF(ISBLANK(C26),INDEX(NGT_TO!$AP$513:$AZ$513,MATCH(YEAR(EOMONTH(A26,15)),NGT_TO!$AP$512:$AZ$512,0))/100,"-")</f>
        <v>-</v>
      </c>
      <c r="E26" s="61">
        <f t="shared" si="1"/>
        <v>74.400000000000006</v>
      </c>
      <c r="F26" s="61">
        <f t="shared" si="0"/>
        <v>173.1</v>
      </c>
    </row>
    <row r="27" spans="1:6">
      <c r="A27" s="68">
        <v>37012</v>
      </c>
      <c r="B27" s="42">
        <v>174.2</v>
      </c>
      <c r="C27" s="37">
        <v>74.900000000000006</v>
      </c>
      <c r="D27" s="62" t="str">
        <f>IF(ISBLANK(C27),INDEX(NGT_TO!$AP$513:$AZ$513,MATCH(YEAR(EOMONTH(A27,15)),NGT_TO!$AP$512:$AZ$512,0))/100,"-")</f>
        <v>-</v>
      </c>
      <c r="E27" s="61">
        <f t="shared" si="1"/>
        <v>74.900000000000006</v>
      </c>
      <c r="F27" s="61">
        <f t="shared" si="0"/>
        <v>174.2</v>
      </c>
    </row>
    <row r="28" spans="1:6">
      <c r="A28" s="68">
        <v>37043</v>
      </c>
      <c r="B28" s="42">
        <v>174.4</v>
      </c>
      <c r="C28" s="37">
        <v>75</v>
      </c>
      <c r="D28" s="62" t="str">
        <f>IF(ISBLANK(C28),INDEX(NGT_TO!$AP$513:$AZ$513,MATCH(YEAR(EOMONTH(A28,15)),NGT_TO!$AP$512:$AZ$512,0))/100,"-")</f>
        <v>-</v>
      </c>
      <c r="E28" s="61">
        <f t="shared" si="1"/>
        <v>75</v>
      </c>
      <c r="F28" s="61">
        <f t="shared" si="0"/>
        <v>174.4</v>
      </c>
    </row>
    <row r="29" spans="1:6">
      <c r="A29" s="68">
        <v>37073</v>
      </c>
      <c r="B29" s="42">
        <v>173.3</v>
      </c>
      <c r="C29" s="37">
        <v>74.5</v>
      </c>
      <c r="D29" s="62" t="str">
        <f>IF(ISBLANK(C29),INDEX(NGT_TO!$AP$513:$AZ$513,MATCH(YEAR(EOMONTH(A29,15)),NGT_TO!$AP$512:$AZ$512,0))/100,"-")</f>
        <v>-</v>
      </c>
      <c r="E29" s="61">
        <f t="shared" si="1"/>
        <v>74.5</v>
      </c>
      <c r="F29" s="61">
        <f t="shared" si="0"/>
        <v>173.3</v>
      </c>
    </row>
    <row r="30" spans="1:6">
      <c r="A30" s="68">
        <v>37104</v>
      </c>
      <c r="B30" s="42">
        <v>174</v>
      </c>
      <c r="C30" s="37">
        <v>74.8</v>
      </c>
      <c r="D30" s="62" t="str">
        <f>IF(ISBLANK(C30),INDEX(NGT_TO!$AP$513:$AZ$513,MATCH(YEAR(EOMONTH(A30,15)),NGT_TO!$AP$512:$AZ$512,0))/100,"-")</f>
        <v>-</v>
      </c>
      <c r="E30" s="61">
        <f t="shared" si="1"/>
        <v>74.8</v>
      </c>
      <c r="F30" s="61">
        <f t="shared" si="0"/>
        <v>174</v>
      </c>
    </row>
    <row r="31" spans="1:6">
      <c r="A31" s="68">
        <v>37135</v>
      </c>
      <c r="B31" s="42">
        <v>174.6</v>
      </c>
      <c r="C31" s="37">
        <v>75</v>
      </c>
      <c r="D31" s="62" t="str">
        <f>IF(ISBLANK(C31),INDEX(NGT_TO!$AP$513:$AZ$513,MATCH(YEAR(EOMONTH(A31,15)),NGT_TO!$AP$512:$AZ$512,0))/100,"-")</f>
        <v>-</v>
      </c>
      <c r="E31" s="61">
        <f t="shared" si="1"/>
        <v>75</v>
      </c>
      <c r="F31" s="61">
        <f t="shared" si="0"/>
        <v>174.6</v>
      </c>
    </row>
    <row r="32" spans="1:6">
      <c r="A32" s="68">
        <v>37165</v>
      </c>
      <c r="B32" s="42">
        <v>174.3</v>
      </c>
      <c r="C32" s="37">
        <v>74.900000000000006</v>
      </c>
      <c r="D32" s="62" t="str">
        <f>IF(ISBLANK(C32),INDEX(NGT_TO!$AP$513:$AZ$513,MATCH(YEAR(EOMONTH(A32,15)),NGT_TO!$AP$512:$AZ$512,0))/100,"-")</f>
        <v>-</v>
      </c>
      <c r="E32" s="61">
        <f t="shared" si="1"/>
        <v>74.900000000000006</v>
      </c>
      <c r="F32" s="61">
        <f t="shared" si="0"/>
        <v>174.3</v>
      </c>
    </row>
    <row r="33" spans="1:6">
      <c r="A33" s="68">
        <v>37196</v>
      </c>
      <c r="B33" s="42">
        <v>173.6</v>
      </c>
      <c r="C33" s="37">
        <v>74.900000000000006</v>
      </c>
      <c r="D33" s="62" t="str">
        <f>IF(ISBLANK(C33),INDEX(NGT_TO!$AP$513:$AZ$513,MATCH(YEAR(EOMONTH(A33,15)),NGT_TO!$AP$512:$AZ$512,0))/100,"-")</f>
        <v>-</v>
      </c>
      <c r="E33" s="61">
        <f t="shared" si="1"/>
        <v>74.900000000000006</v>
      </c>
      <c r="F33" s="61">
        <f t="shared" si="0"/>
        <v>173.6</v>
      </c>
    </row>
    <row r="34" spans="1:6">
      <c r="A34" s="68">
        <v>37226</v>
      </c>
      <c r="B34" s="42">
        <v>173.4</v>
      </c>
      <c r="C34" s="37">
        <v>75</v>
      </c>
      <c r="D34" s="62" t="str">
        <f>IF(ISBLANK(C34),INDEX(NGT_TO!$AP$513:$AZ$513,MATCH(YEAR(EOMONTH(A34,15)),NGT_TO!$AP$512:$AZ$512,0))/100,"-")</f>
        <v>-</v>
      </c>
      <c r="E34" s="61">
        <f t="shared" si="1"/>
        <v>75</v>
      </c>
      <c r="F34" s="61">
        <f t="shared" si="0"/>
        <v>173.4</v>
      </c>
    </row>
    <row r="35" spans="1:6">
      <c r="A35" s="68">
        <v>37257</v>
      </c>
      <c r="B35" s="42">
        <v>173.3</v>
      </c>
      <c r="C35" s="37">
        <v>74.8</v>
      </c>
      <c r="D35" s="62" t="str">
        <f>IF(ISBLANK(C35),INDEX(NGT_TO!$AP$513:$AZ$513,MATCH(YEAR(EOMONTH(A35,15)),NGT_TO!$AP$512:$AZ$512,0))/100,"-")</f>
        <v>-</v>
      </c>
      <c r="E35" s="61">
        <f t="shared" si="1"/>
        <v>74.8</v>
      </c>
      <c r="F35" s="61">
        <f t="shared" si="0"/>
        <v>173.3</v>
      </c>
    </row>
    <row r="36" spans="1:6">
      <c r="A36" s="68">
        <v>37288</v>
      </c>
      <c r="B36" s="42">
        <v>173.8</v>
      </c>
      <c r="C36" s="37">
        <v>75</v>
      </c>
      <c r="D36" s="62" t="str">
        <f>IF(ISBLANK(C36),INDEX(NGT_TO!$AP$513:$AZ$513,MATCH(YEAR(EOMONTH(A36,15)),NGT_TO!$AP$512:$AZ$512,0))/100,"-")</f>
        <v>-</v>
      </c>
      <c r="E36" s="61">
        <f t="shared" si="1"/>
        <v>75</v>
      </c>
      <c r="F36" s="61">
        <f t="shared" si="0"/>
        <v>173.8</v>
      </c>
    </row>
    <row r="37" spans="1:6">
      <c r="A37" s="68">
        <v>37316</v>
      </c>
      <c r="B37" s="42">
        <v>174.5</v>
      </c>
      <c r="C37" s="37">
        <v>75.2</v>
      </c>
      <c r="D37" s="62" t="str">
        <f>IF(ISBLANK(C37),INDEX(NGT_TO!$AP$513:$AZ$513,MATCH(YEAR(EOMONTH(A37,15)),NGT_TO!$AP$512:$AZ$512,0))/100,"-")</f>
        <v>-</v>
      </c>
      <c r="E37" s="61">
        <f t="shared" si="1"/>
        <v>75.2</v>
      </c>
      <c r="F37" s="61">
        <f t="shared" si="0"/>
        <v>174.5</v>
      </c>
    </row>
    <row r="38" spans="1:6">
      <c r="A38" s="68">
        <v>37347</v>
      </c>
      <c r="B38" s="42">
        <v>175.7</v>
      </c>
      <c r="C38" s="37">
        <v>75.599999999999994</v>
      </c>
      <c r="D38" s="62" t="str">
        <f>IF(ISBLANK(C38),INDEX(NGT_TO!$AP$513:$AZ$513,MATCH(YEAR(EOMONTH(A38,15)),NGT_TO!$AP$512:$AZ$512,0))/100,"-")</f>
        <v>-</v>
      </c>
      <c r="E38" s="61">
        <f t="shared" si="1"/>
        <v>75.599999999999994</v>
      </c>
      <c r="F38" s="61">
        <f t="shared" si="0"/>
        <v>175.7</v>
      </c>
    </row>
    <row r="39" spans="1:6">
      <c r="A39" s="68">
        <v>37377</v>
      </c>
      <c r="B39" s="42">
        <v>176.2</v>
      </c>
      <c r="C39" s="37">
        <v>75.8</v>
      </c>
      <c r="D39" s="62" t="str">
        <f>IF(ISBLANK(C39),INDEX(NGT_TO!$AP$513:$AZ$513,MATCH(YEAR(EOMONTH(A39,15)),NGT_TO!$AP$512:$AZ$512,0))/100,"-")</f>
        <v>-</v>
      </c>
      <c r="E39" s="61">
        <f t="shared" si="1"/>
        <v>75.8</v>
      </c>
      <c r="F39" s="61">
        <f t="shared" si="0"/>
        <v>176.2</v>
      </c>
    </row>
    <row r="40" spans="1:6">
      <c r="A40" s="68">
        <v>37408</v>
      </c>
      <c r="B40" s="42">
        <v>176.2</v>
      </c>
      <c r="C40" s="37">
        <v>75.8</v>
      </c>
      <c r="D40" s="62" t="str">
        <f>IF(ISBLANK(C40),INDEX(NGT_TO!$AP$513:$AZ$513,MATCH(YEAR(EOMONTH(A40,15)),NGT_TO!$AP$512:$AZ$512,0))/100,"-")</f>
        <v>-</v>
      </c>
      <c r="E40" s="61">
        <f t="shared" si="1"/>
        <v>75.8</v>
      </c>
      <c r="F40" s="61">
        <f t="shared" si="0"/>
        <v>176.2</v>
      </c>
    </row>
    <row r="41" spans="1:6">
      <c r="A41" s="68">
        <v>37438</v>
      </c>
      <c r="B41" s="42">
        <v>175.9</v>
      </c>
      <c r="C41" s="37">
        <v>75.599999999999994</v>
      </c>
      <c r="D41" s="62" t="str">
        <f>IF(ISBLANK(C41),INDEX(NGT_TO!$AP$513:$AZ$513,MATCH(YEAR(EOMONTH(A41,15)),NGT_TO!$AP$512:$AZ$512,0))/100,"-")</f>
        <v>-</v>
      </c>
      <c r="E41" s="61">
        <f t="shared" si="1"/>
        <v>75.599999999999994</v>
      </c>
      <c r="F41" s="61">
        <f t="shared" si="0"/>
        <v>175.9</v>
      </c>
    </row>
    <row r="42" spans="1:6">
      <c r="A42" s="68">
        <v>37469</v>
      </c>
      <c r="B42" s="42">
        <v>176.4</v>
      </c>
      <c r="C42" s="37">
        <v>75.8</v>
      </c>
      <c r="D42" s="62" t="str">
        <f>IF(ISBLANK(C42),INDEX(NGT_TO!$AP$513:$AZ$513,MATCH(YEAR(EOMONTH(A42,15)),NGT_TO!$AP$512:$AZ$512,0))/100,"-")</f>
        <v>-</v>
      </c>
      <c r="E42" s="61">
        <f t="shared" si="1"/>
        <v>75.8</v>
      </c>
      <c r="F42" s="61">
        <f t="shared" si="0"/>
        <v>176.4</v>
      </c>
    </row>
    <row r="43" spans="1:6">
      <c r="A43" s="68">
        <v>37500</v>
      </c>
      <c r="B43" s="42">
        <v>177.6</v>
      </c>
      <c r="C43" s="37">
        <v>76</v>
      </c>
      <c r="D43" s="62" t="str">
        <f>IF(ISBLANK(C43),INDEX(NGT_TO!$AP$513:$AZ$513,MATCH(YEAR(EOMONTH(A43,15)),NGT_TO!$AP$512:$AZ$512,0))/100,"-")</f>
        <v>-</v>
      </c>
      <c r="E43" s="61">
        <f t="shared" si="1"/>
        <v>76</v>
      </c>
      <c r="F43" s="61">
        <f t="shared" si="0"/>
        <v>177.6</v>
      </c>
    </row>
    <row r="44" spans="1:6">
      <c r="A44" s="68">
        <v>37530</v>
      </c>
      <c r="B44" s="42">
        <v>177.9</v>
      </c>
      <c r="C44" s="37">
        <v>76.099999999999994</v>
      </c>
      <c r="D44" s="62" t="str">
        <f>IF(ISBLANK(C44),INDEX(NGT_TO!$AP$513:$AZ$513,MATCH(YEAR(EOMONTH(A44,15)),NGT_TO!$AP$512:$AZ$512,0))/100,"-")</f>
        <v>-</v>
      </c>
      <c r="E44" s="61">
        <f t="shared" si="1"/>
        <v>76.099999999999994</v>
      </c>
      <c r="F44" s="61">
        <f t="shared" si="0"/>
        <v>177.9</v>
      </c>
    </row>
    <row r="45" spans="1:6">
      <c r="A45" s="68">
        <v>37561</v>
      </c>
      <c r="B45" s="42">
        <v>178.2</v>
      </c>
      <c r="C45" s="37">
        <v>76.099999999999994</v>
      </c>
      <c r="D45" s="62" t="str">
        <f>IF(ISBLANK(C45),INDEX(NGT_TO!$AP$513:$AZ$513,MATCH(YEAR(EOMONTH(A45,15)),NGT_TO!$AP$512:$AZ$512,0))/100,"-")</f>
        <v>-</v>
      </c>
      <c r="E45" s="61">
        <f t="shared" si="1"/>
        <v>76.099999999999994</v>
      </c>
      <c r="F45" s="61">
        <f t="shared" si="0"/>
        <v>178.2</v>
      </c>
    </row>
    <row r="46" spans="1:6">
      <c r="A46" s="68">
        <v>37591</v>
      </c>
      <c r="B46" s="42">
        <v>178.5</v>
      </c>
      <c r="C46" s="37">
        <v>76.3</v>
      </c>
      <c r="D46" s="62" t="str">
        <f>IF(ISBLANK(C46),INDEX(NGT_TO!$AP$513:$AZ$513,MATCH(YEAR(EOMONTH(A46,15)),NGT_TO!$AP$512:$AZ$512,0))/100,"-")</f>
        <v>-</v>
      </c>
      <c r="E46" s="61">
        <f t="shared" si="1"/>
        <v>76.3</v>
      </c>
      <c r="F46" s="61">
        <f t="shared" si="0"/>
        <v>178.5</v>
      </c>
    </row>
    <row r="47" spans="1:6">
      <c r="A47" s="68">
        <v>37622</v>
      </c>
      <c r="B47" s="42">
        <v>178.4</v>
      </c>
      <c r="C47" s="37">
        <v>75.900000000000006</v>
      </c>
      <c r="D47" s="62" t="str">
        <f>IF(ISBLANK(C47),INDEX(NGT_TO!$AP$513:$AZ$513,MATCH(YEAR(EOMONTH(A47,15)),NGT_TO!$AP$512:$AZ$512,0))/100,"-")</f>
        <v>-</v>
      </c>
      <c r="E47" s="61">
        <f t="shared" si="1"/>
        <v>75.900000000000006</v>
      </c>
      <c r="F47" s="61">
        <f t="shared" si="0"/>
        <v>178.4</v>
      </c>
    </row>
    <row r="48" spans="1:6">
      <c r="A48" s="68">
        <v>37653</v>
      </c>
      <c r="B48" s="42">
        <v>179.3</v>
      </c>
      <c r="C48" s="37">
        <v>76.099999999999994</v>
      </c>
      <c r="D48" s="62" t="str">
        <f>IF(ISBLANK(C48),INDEX(NGT_TO!$AP$513:$AZ$513,MATCH(YEAR(EOMONTH(A48,15)),NGT_TO!$AP$512:$AZ$512,0))/100,"-")</f>
        <v>-</v>
      </c>
      <c r="E48" s="61">
        <f t="shared" si="1"/>
        <v>76.099999999999994</v>
      </c>
      <c r="F48" s="61">
        <f t="shared" si="0"/>
        <v>179.3</v>
      </c>
    </row>
    <row r="49" spans="1:6">
      <c r="A49" s="68">
        <v>37681</v>
      </c>
      <c r="B49" s="42">
        <v>179.9</v>
      </c>
      <c r="C49" s="37">
        <v>76.400000000000006</v>
      </c>
      <c r="D49" s="62" t="str">
        <f>IF(ISBLANK(C49),INDEX(NGT_TO!$AP$513:$AZ$513,MATCH(YEAR(EOMONTH(A49,15)),NGT_TO!$AP$512:$AZ$512,0))/100,"-")</f>
        <v>-</v>
      </c>
      <c r="E49" s="61">
        <f t="shared" si="1"/>
        <v>76.400000000000006</v>
      </c>
      <c r="F49" s="61">
        <f t="shared" si="0"/>
        <v>179.9</v>
      </c>
    </row>
    <row r="50" spans="1:6">
      <c r="A50" s="68">
        <v>37712</v>
      </c>
      <c r="B50" s="42">
        <v>181.2</v>
      </c>
      <c r="C50" s="37">
        <v>76.8</v>
      </c>
      <c r="D50" s="62" t="str">
        <f>IF(ISBLANK(C50),INDEX(NGT_TO!$AP$513:$AZ$513,MATCH(YEAR(EOMONTH(A50,15)),NGT_TO!$AP$512:$AZ$512,0))/100,"-")</f>
        <v>-</v>
      </c>
      <c r="E50" s="61">
        <f t="shared" si="1"/>
        <v>76.8</v>
      </c>
      <c r="F50" s="61">
        <f t="shared" si="0"/>
        <v>181.2</v>
      </c>
    </row>
    <row r="51" spans="1:6">
      <c r="A51" s="68">
        <v>37742</v>
      </c>
      <c r="B51" s="42">
        <v>181.5</v>
      </c>
      <c r="C51" s="37">
        <v>76.8</v>
      </c>
      <c r="D51" s="62" t="str">
        <f>IF(ISBLANK(C51),INDEX(NGT_TO!$AP$513:$AZ$513,MATCH(YEAR(EOMONTH(A51,15)),NGT_TO!$AP$512:$AZ$512,0))/100,"-")</f>
        <v>-</v>
      </c>
      <c r="E51" s="61">
        <f t="shared" si="1"/>
        <v>76.8</v>
      </c>
      <c r="F51" s="61">
        <f t="shared" si="0"/>
        <v>181.5</v>
      </c>
    </row>
    <row r="52" spans="1:6">
      <c r="A52" s="68">
        <v>37773</v>
      </c>
      <c r="B52" s="42">
        <v>181.3</v>
      </c>
      <c r="C52" s="37">
        <v>76.7</v>
      </c>
      <c r="D52" s="62" t="str">
        <f>IF(ISBLANK(C52),INDEX(NGT_TO!$AP$513:$AZ$513,MATCH(YEAR(EOMONTH(A52,15)),NGT_TO!$AP$512:$AZ$512,0))/100,"-")</f>
        <v>-</v>
      </c>
      <c r="E52" s="61">
        <f t="shared" si="1"/>
        <v>76.7</v>
      </c>
      <c r="F52" s="61">
        <f t="shared" si="0"/>
        <v>181.3</v>
      </c>
    </row>
    <row r="53" spans="1:6">
      <c r="A53" s="68">
        <v>37803</v>
      </c>
      <c r="B53" s="42">
        <v>181.3</v>
      </c>
      <c r="C53" s="37">
        <v>76.599999999999994</v>
      </c>
      <c r="D53" s="62" t="str">
        <f>IF(ISBLANK(C53),INDEX(NGT_TO!$AP$513:$AZ$513,MATCH(YEAR(EOMONTH(A53,15)),NGT_TO!$AP$512:$AZ$512,0))/100,"-")</f>
        <v>-</v>
      </c>
      <c r="E53" s="61">
        <f t="shared" si="1"/>
        <v>76.599999999999994</v>
      </c>
      <c r="F53" s="61">
        <f t="shared" si="0"/>
        <v>181.3</v>
      </c>
    </row>
    <row r="54" spans="1:6">
      <c r="A54" s="68">
        <v>37834</v>
      </c>
      <c r="B54" s="42">
        <v>181.6</v>
      </c>
      <c r="C54" s="37">
        <v>76.8</v>
      </c>
      <c r="D54" s="62" t="str">
        <f>IF(ISBLANK(C54),INDEX(NGT_TO!$AP$513:$AZ$513,MATCH(YEAR(EOMONTH(A54,15)),NGT_TO!$AP$512:$AZ$512,0))/100,"-")</f>
        <v>-</v>
      </c>
      <c r="E54" s="61">
        <f t="shared" si="1"/>
        <v>76.8</v>
      </c>
      <c r="F54" s="61">
        <f t="shared" si="0"/>
        <v>181.6</v>
      </c>
    </row>
    <row r="55" spans="1:6">
      <c r="A55" s="68">
        <v>37865</v>
      </c>
      <c r="B55" s="42">
        <v>182.5</v>
      </c>
      <c r="C55" s="37">
        <v>77</v>
      </c>
      <c r="D55" s="62" t="str">
        <f>IF(ISBLANK(C55),INDEX(NGT_TO!$AP$513:$AZ$513,MATCH(YEAR(EOMONTH(A55,15)),NGT_TO!$AP$512:$AZ$512,0))/100,"-")</f>
        <v>-</v>
      </c>
      <c r="E55" s="61">
        <f t="shared" si="1"/>
        <v>77</v>
      </c>
      <c r="F55" s="61">
        <f t="shared" si="0"/>
        <v>182.5</v>
      </c>
    </row>
    <row r="56" spans="1:6">
      <c r="A56" s="68">
        <v>37895</v>
      </c>
      <c r="B56" s="42">
        <v>182.6</v>
      </c>
      <c r="C56" s="37">
        <v>77.099999999999994</v>
      </c>
      <c r="D56" s="62" t="str">
        <f>IF(ISBLANK(C56),INDEX(NGT_TO!$AP$513:$AZ$513,MATCH(YEAR(EOMONTH(A56,15)),NGT_TO!$AP$512:$AZ$512,0))/100,"-")</f>
        <v>-</v>
      </c>
      <c r="E56" s="61">
        <f t="shared" si="1"/>
        <v>77.099999999999994</v>
      </c>
      <c r="F56" s="61">
        <f t="shared" si="0"/>
        <v>182.6</v>
      </c>
    </row>
    <row r="57" spans="1:6">
      <c r="A57" s="68">
        <v>37926</v>
      </c>
      <c r="B57" s="42">
        <v>182.7</v>
      </c>
      <c r="C57" s="37">
        <v>77.099999999999994</v>
      </c>
      <c r="D57" s="62" t="str">
        <f>IF(ISBLANK(C57),INDEX(NGT_TO!$AP$513:$AZ$513,MATCH(YEAR(EOMONTH(A57,15)),NGT_TO!$AP$512:$AZ$512,0))/100,"-")</f>
        <v>-</v>
      </c>
      <c r="E57" s="61">
        <f t="shared" si="1"/>
        <v>77.099999999999994</v>
      </c>
      <c r="F57" s="61">
        <f t="shared" si="0"/>
        <v>182.7</v>
      </c>
    </row>
    <row r="58" spans="1:6">
      <c r="A58" s="68">
        <v>37956</v>
      </c>
      <c r="B58" s="42">
        <v>183.5</v>
      </c>
      <c r="C58" s="37">
        <v>77.3</v>
      </c>
      <c r="D58" s="62" t="str">
        <f>IF(ISBLANK(C58),INDEX(NGT_TO!$AP$513:$AZ$513,MATCH(YEAR(EOMONTH(A58,15)),NGT_TO!$AP$512:$AZ$512,0))/100,"-")</f>
        <v>-</v>
      </c>
      <c r="E58" s="61">
        <f t="shared" si="1"/>
        <v>77.3</v>
      </c>
      <c r="F58" s="61">
        <f t="shared" si="0"/>
        <v>183.5</v>
      </c>
    </row>
    <row r="59" spans="1:6">
      <c r="A59" s="68">
        <v>37987</v>
      </c>
      <c r="B59" s="42">
        <v>183.1</v>
      </c>
      <c r="C59" s="37">
        <v>77</v>
      </c>
      <c r="D59" s="62" t="str">
        <f>IF(ISBLANK(C59),INDEX(NGT_TO!$AP$513:$AZ$513,MATCH(YEAR(EOMONTH(A59,15)),NGT_TO!$AP$512:$AZ$512,0))/100,"-")</f>
        <v>-</v>
      </c>
      <c r="E59" s="61">
        <f t="shared" si="1"/>
        <v>77</v>
      </c>
      <c r="F59" s="61">
        <f t="shared" si="0"/>
        <v>183.1</v>
      </c>
    </row>
    <row r="60" spans="1:6">
      <c r="A60" s="68">
        <v>38018</v>
      </c>
      <c r="B60" s="42">
        <v>183.8</v>
      </c>
      <c r="C60" s="37">
        <v>77.2</v>
      </c>
      <c r="D60" s="62" t="str">
        <f>IF(ISBLANK(C60),INDEX(NGT_TO!$AP$513:$AZ$513,MATCH(YEAR(EOMONTH(A60,15)),NGT_TO!$AP$512:$AZ$512,0))/100,"-")</f>
        <v>-</v>
      </c>
      <c r="E60" s="61">
        <f t="shared" si="1"/>
        <v>77.2</v>
      </c>
      <c r="F60" s="61">
        <f t="shared" si="0"/>
        <v>183.8</v>
      </c>
    </row>
    <row r="61" spans="1:6">
      <c r="A61" s="68">
        <v>38047</v>
      </c>
      <c r="B61" s="42">
        <v>184.6</v>
      </c>
      <c r="C61" s="37">
        <v>77.3</v>
      </c>
      <c r="D61" s="62" t="str">
        <f>IF(ISBLANK(C61),INDEX(NGT_TO!$AP$513:$AZ$513,MATCH(YEAR(EOMONTH(A61,15)),NGT_TO!$AP$512:$AZ$512,0))/100,"-")</f>
        <v>-</v>
      </c>
      <c r="E61" s="61">
        <f t="shared" si="1"/>
        <v>77.3</v>
      </c>
      <c r="F61" s="61">
        <f t="shared" si="0"/>
        <v>184.6</v>
      </c>
    </row>
    <row r="62" spans="1:6">
      <c r="A62" s="68">
        <v>38078</v>
      </c>
      <c r="B62" s="42">
        <v>185.7</v>
      </c>
      <c r="C62" s="37">
        <v>77.599999999999994</v>
      </c>
      <c r="D62" s="62" t="str">
        <f>IF(ISBLANK(C62),INDEX(NGT_TO!$AP$513:$AZ$513,MATCH(YEAR(EOMONTH(A62,15)),NGT_TO!$AP$512:$AZ$512,0))/100,"-")</f>
        <v>-</v>
      </c>
      <c r="E62" s="61">
        <f t="shared" si="1"/>
        <v>77.599999999999994</v>
      </c>
      <c r="F62" s="61">
        <f t="shared" si="0"/>
        <v>185.7</v>
      </c>
    </row>
    <row r="63" spans="1:6">
      <c r="A63" s="68">
        <v>38108</v>
      </c>
      <c r="B63" s="42">
        <v>186.5</v>
      </c>
      <c r="C63" s="37">
        <v>77.900000000000006</v>
      </c>
      <c r="D63" s="62" t="str">
        <f>IF(ISBLANK(C63),INDEX(NGT_TO!$AP$513:$AZ$513,MATCH(YEAR(EOMONTH(A63,15)),NGT_TO!$AP$512:$AZ$512,0))/100,"-")</f>
        <v>-</v>
      </c>
      <c r="E63" s="61">
        <f t="shared" si="1"/>
        <v>77.900000000000006</v>
      </c>
      <c r="F63" s="61">
        <f t="shared" si="0"/>
        <v>186.5</v>
      </c>
    </row>
    <row r="64" spans="1:6">
      <c r="A64" s="68">
        <v>38139</v>
      </c>
      <c r="B64" s="42">
        <v>186.8</v>
      </c>
      <c r="C64" s="37">
        <v>77.900000000000006</v>
      </c>
      <c r="D64" s="62" t="str">
        <f>IF(ISBLANK(C64),INDEX(NGT_TO!$AP$513:$AZ$513,MATCH(YEAR(EOMONTH(A64,15)),NGT_TO!$AP$512:$AZ$512,0))/100,"-")</f>
        <v>-</v>
      </c>
      <c r="E64" s="61">
        <f t="shared" si="1"/>
        <v>77.900000000000006</v>
      </c>
      <c r="F64" s="61">
        <f t="shared" si="0"/>
        <v>186.8</v>
      </c>
    </row>
    <row r="65" spans="1:6">
      <c r="A65" s="68">
        <v>38169</v>
      </c>
      <c r="B65" s="42">
        <v>186.8</v>
      </c>
      <c r="C65" s="37">
        <v>77.7</v>
      </c>
      <c r="D65" s="62" t="str">
        <f>IF(ISBLANK(C65),INDEX(NGT_TO!$AP$513:$AZ$513,MATCH(YEAR(EOMONTH(A65,15)),NGT_TO!$AP$512:$AZ$512,0))/100,"-")</f>
        <v>-</v>
      </c>
      <c r="E65" s="61">
        <f t="shared" si="1"/>
        <v>77.7</v>
      </c>
      <c r="F65" s="61">
        <f t="shared" si="0"/>
        <v>186.8</v>
      </c>
    </row>
    <row r="66" spans="1:6">
      <c r="A66" s="68">
        <v>38200</v>
      </c>
      <c r="B66" s="42">
        <v>187.4</v>
      </c>
      <c r="C66" s="37">
        <v>77.900000000000006</v>
      </c>
      <c r="D66" s="62" t="str">
        <f>IF(ISBLANK(C66),INDEX(NGT_TO!$AP$513:$AZ$513,MATCH(YEAR(EOMONTH(A66,15)),NGT_TO!$AP$512:$AZ$512,0))/100,"-")</f>
        <v>-</v>
      </c>
      <c r="E66" s="61">
        <f t="shared" si="1"/>
        <v>77.900000000000006</v>
      </c>
      <c r="F66" s="61">
        <f t="shared" ref="F66:F129" si="2">IF(ISBLANK(B66),F65*(E66/E65),B66)</f>
        <v>187.4</v>
      </c>
    </row>
    <row r="67" spans="1:6">
      <c r="A67" s="68">
        <v>38231</v>
      </c>
      <c r="B67" s="42">
        <v>188.1</v>
      </c>
      <c r="C67" s="37">
        <v>77.900000000000006</v>
      </c>
      <c r="D67" s="62" t="str">
        <f>IF(ISBLANK(C67),INDEX(NGT_TO!$AP$513:$AZ$513,MATCH(YEAR(EOMONTH(A67,15)),NGT_TO!$AP$512:$AZ$512,0))/100,"-")</f>
        <v>-</v>
      </c>
      <c r="E67" s="61">
        <f t="shared" ref="E67:E130" si="3">IF(ISBLANK(C67),E66*((1+D67)^(1/12)),C67)</f>
        <v>77.900000000000006</v>
      </c>
      <c r="F67" s="61">
        <f t="shared" si="2"/>
        <v>188.1</v>
      </c>
    </row>
    <row r="68" spans="1:6">
      <c r="A68" s="68">
        <v>38261</v>
      </c>
      <c r="B68" s="42">
        <v>188.6</v>
      </c>
      <c r="C68" s="37">
        <v>78.099999999999994</v>
      </c>
      <c r="D68" s="62" t="str">
        <f>IF(ISBLANK(C68),INDEX(NGT_TO!$AP$513:$AZ$513,MATCH(YEAR(EOMONTH(A68,15)),NGT_TO!$AP$512:$AZ$512,0))/100,"-")</f>
        <v>-</v>
      </c>
      <c r="E68" s="61">
        <f t="shared" si="3"/>
        <v>78.099999999999994</v>
      </c>
      <c r="F68" s="61">
        <f t="shared" si="2"/>
        <v>188.6</v>
      </c>
    </row>
    <row r="69" spans="1:6">
      <c r="A69" s="68">
        <v>38292</v>
      </c>
      <c r="B69" s="42">
        <v>189</v>
      </c>
      <c r="C69" s="37">
        <v>78.3</v>
      </c>
      <c r="D69" s="62" t="str">
        <f>IF(ISBLANK(C69),INDEX(NGT_TO!$AP$513:$AZ$513,MATCH(YEAR(EOMONTH(A69,15)),NGT_TO!$AP$512:$AZ$512,0))/100,"-")</f>
        <v>-</v>
      </c>
      <c r="E69" s="61">
        <f t="shared" si="3"/>
        <v>78.3</v>
      </c>
      <c r="F69" s="61">
        <f t="shared" si="2"/>
        <v>189</v>
      </c>
    </row>
    <row r="70" spans="1:6">
      <c r="A70" s="68">
        <v>38322</v>
      </c>
      <c r="B70" s="42">
        <v>189.9</v>
      </c>
      <c r="C70" s="37">
        <v>78.599999999999994</v>
      </c>
      <c r="D70" s="62" t="str">
        <f>IF(ISBLANK(C70),INDEX(NGT_TO!$AP$513:$AZ$513,MATCH(YEAR(EOMONTH(A70,15)),NGT_TO!$AP$512:$AZ$512,0))/100,"-")</f>
        <v>-</v>
      </c>
      <c r="E70" s="61">
        <f t="shared" si="3"/>
        <v>78.599999999999994</v>
      </c>
      <c r="F70" s="61">
        <f t="shared" si="2"/>
        <v>189.9</v>
      </c>
    </row>
    <row r="71" spans="1:6">
      <c r="A71" s="68">
        <v>38353</v>
      </c>
      <c r="B71" s="42">
        <v>188.9</v>
      </c>
      <c r="C71" s="37">
        <v>78.3</v>
      </c>
      <c r="D71" s="62" t="str">
        <f>IF(ISBLANK(C71),INDEX(NGT_TO!$AP$513:$AZ$513,MATCH(YEAR(EOMONTH(A71,15)),NGT_TO!$AP$512:$AZ$512,0))/100,"-")</f>
        <v>-</v>
      </c>
      <c r="E71" s="61">
        <f t="shared" si="3"/>
        <v>78.3</v>
      </c>
      <c r="F71" s="61">
        <f t="shared" si="2"/>
        <v>188.9</v>
      </c>
    </row>
    <row r="72" spans="1:6">
      <c r="A72" s="68">
        <v>38384</v>
      </c>
      <c r="B72" s="42">
        <v>189.6</v>
      </c>
      <c r="C72" s="37">
        <v>78.5</v>
      </c>
      <c r="D72" s="62" t="str">
        <f>IF(ISBLANK(C72),INDEX(NGT_TO!$AP$513:$AZ$513,MATCH(YEAR(EOMONTH(A72,15)),NGT_TO!$AP$512:$AZ$512,0))/100,"-")</f>
        <v>-</v>
      </c>
      <c r="E72" s="61">
        <f t="shared" si="3"/>
        <v>78.5</v>
      </c>
      <c r="F72" s="61">
        <f t="shared" si="2"/>
        <v>189.6</v>
      </c>
    </row>
    <row r="73" spans="1:6">
      <c r="A73" s="68">
        <v>38412</v>
      </c>
      <c r="B73" s="42">
        <v>190.5</v>
      </c>
      <c r="C73" s="37">
        <v>78.8</v>
      </c>
      <c r="D73" s="62" t="str">
        <f>IF(ISBLANK(C73),INDEX(NGT_TO!$AP$513:$AZ$513,MATCH(YEAR(EOMONTH(A73,15)),NGT_TO!$AP$512:$AZ$512,0))/100,"-")</f>
        <v>-</v>
      </c>
      <c r="E73" s="61">
        <f t="shared" si="3"/>
        <v>78.8</v>
      </c>
      <c r="F73" s="61">
        <f t="shared" si="2"/>
        <v>190.5</v>
      </c>
    </row>
    <row r="74" spans="1:6">
      <c r="A74" s="68">
        <v>38443</v>
      </c>
      <c r="B74" s="42">
        <v>191.6</v>
      </c>
      <c r="C74" s="37">
        <v>79.099999999999994</v>
      </c>
      <c r="D74" s="62" t="str">
        <f>IF(ISBLANK(C74),INDEX(NGT_TO!$AP$513:$AZ$513,MATCH(YEAR(EOMONTH(A74,15)),NGT_TO!$AP$512:$AZ$512,0))/100,"-")</f>
        <v>-</v>
      </c>
      <c r="E74" s="61">
        <f t="shared" si="3"/>
        <v>79.099999999999994</v>
      </c>
      <c r="F74" s="61">
        <f t="shared" si="2"/>
        <v>191.6</v>
      </c>
    </row>
    <row r="75" spans="1:6">
      <c r="A75" s="68">
        <v>38473</v>
      </c>
      <c r="B75" s="42">
        <v>192</v>
      </c>
      <c r="C75" s="37">
        <v>79.400000000000006</v>
      </c>
      <c r="D75" s="62" t="str">
        <f>IF(ISBLANK(C75),INDEX(NGT_TO!$AP$513:$AZ$513,MATCH(YEAR(EOMONTH(A75,15)),NGT_TO!$AP$512:$AZ$512,0))/100,"-")</f>
        <v>-</v>
      </c>
      <c r="E75" s="61">
        <f t="shared" si="3"/>
        <v>79.400000000000006</v>
      </c>
      <c r="F75" s="61">
        <f t="shared" si="2"/>
        <v>192</v>
      </c>
    </row>
    <row r="76" spans="1:6">
      <c r="A76" s="68">
        <v>38504</v>
      </c>
      <c r="B76" s="42">
        <v>192.2</v>
      </c>
      <c r="C76" s="37">
        <v>79.400000000000006</v>
      </c>
      <c r="D76" s="62" t="str">
        <f>IF(ISBLANK(C76),INDEX(NGT_TO!$AP$513:$AZ$513,MATCH(YEAR(EOMONTH(A76,15)),NGT_TO!$AP$512:$AZ$512,0))/100,"-")</f>
        <v>-</v>
      </c>
      <c r="E76" s="61">
        <f t="shared" si="3"/>
        <v>79.400000000000006</v>
      </c>
      <c r="F76" s="61">
        <f t="shared" si="2"/>
        <v>192.2</v>
      </c>
    </row>
    <row r="77" spans="1:6">
      <c r="A77" s="68">
        <v>38534</v>
      </c>
      <c r="B77" s="42">
        <v>192.2</v>
      </c>
      <c r="C77" s="37">
        <v>79.5</v>
      </c>
      <c r="D77" s="62" t="str">
        <f>IF(ISBLANK(C77),INDEX(NGT_TO!$AP$513:$AZ$513,MATCH(YEAR(EOMONTH(A77,15)),NGT_TO!$AP$512:$AZ$512,0))/100,"-")</f>
        <v>-</v>
      </c>
      <c r="E77" s="61">
        <f t="shared" si="3"/>
        <v>79.5</v>
      </c>
      <c r="F77" s="61">
        <f t="shared" si="2"/>
        <v>192.2</v>
      </c>
    </row>
    <row r="78" spans="1:6">
      <c r="A78" s="68">
        <v>38565</v>
      </c>
      <c r="B78" s="42">
        <v>192.6</v>
      </c>
      <c r="C78" s="37">
        <v>79.7</v>
      </c>
      <c r="D78" s="62" t="str">
        <f>IF(ISBLANK(C78),INDEX(NGT_TO!$AP$513:$AZ$513,MATCH(YEAR(EOMONTH(A78,15)),NGT_TO!$AP$512:$AZ$512,0))/100,"-")</f>
        <v>-</v>
      </c>
      <c r="E78" s="61">
        <f t="shared" si="3"/>
        <v>79.7</v>
      </c>
      <c r="F78" s="61">
        <f t="shared" si="2"/>
        <v>192.6</v>
      </c>
    </row>
    <row r="79" spans="1:6">
      <c r="A79" s="68">
        <v>38596</v>
      </c>
      <c r="B79" s="42">
        <v>193.1</v>
      </c>
      <c r="C79" s="37">
        <v>79.900000000000006</v>
      </c>
      <c r="D79" s="62" t="str">
        <f>IF(ISBLANK(C79),INDEX(NGT_TO!$AP$513:$AZ$513,MATCH(YEAR(EOMONTH(A79,15)),NGT_TO!$AP$512:$AZ$512,0))/100,"-")</f>
        <v>-</v>
      </c>
      <c r="E79" s="61">
        <f t="shared" si="3"/>
        <v>79.900000000000006</v>
      </c>
      <c r="F79" s="61">
        <f t="shared" si="2"/>
        <v>193.1</v>
      </c>
    </row>
    <row r="80" spans="1:6">
      <c r="A80" s="68">
        <v>38626</v>
      </c>
      <c r="B80" s="42">
        <v>193.3</v>
      </c>
      <c r="C80" s="37">
        <v>80</v>
      </c>
      <c r="D80" s="62" t="str">
        <f>IF(ISBLANK(C80),INDEX(NGT_TO!$AP$513:$AZ$513,MATCH(YEAR(EOMONTH(A80,15)),NGT_TO!$AP$512:$AZ$512,0))/100,"-")</f>
        <v>-</v>
      </c>
      <c r="E80" s="61">
        <f t="shared" si="3"/>
        <v>80</v>
      </c>
      <c r="F80" s="61">
        <f t="shared" si="2"/>
        <v>193.3</v>
      </c>
    </row>
    <row r="81" spans="1:6">
      <c r="A81" s="68">
        <v>38657</v>
      </c>
      <c r="B81" s="42">
        <v>193.6</v>
      </c>
      <c r="C81" s="37">
        <v>80</v>
      </c>
      <c r="D81" s="62" t="str">
        <f>IF(ISBLANK(C81),INDEX(NGT_TO!$AP$513:$AZ$513,MATCH(YEAR(EOMONTH(A81,15)),NGT_TO!$AP$512:$AZ$512,0))/100,"-")</f>
        <v>-</v>
      </c>
      <c r="E81" s="61">
        <f t="shared" si="3"/>
        <v>80</v>
      </c>
      <c r="F81" s="61">
        <f t="shared" si="2"/>
        <v>193.6</v>
      </c>
    </row>
    <row r="82" spans="1:6">
      <c r="A82" s="68">
        <v>38687</v>
      </c>
      <c r="B82" s="42">
        <v>194.1</v>
      </c>
      <c r="C82" s="37">
        <v>80.3</v>
      </c>
      <c r="D82" s="62" t="str">
        <f>IF(ISBLANK(C82),INDEX(NGT_TO!$AP$513:$AZ$513,MATCH(YEAR(EOMONTH(A82,15)),NGT_TO!$AP$512:$AZ$512,0))/100,"-")</f>
        <v>-</v>
      </c>
      <c r="E82" s="61">
        <f t="shared" si="3"/>
        <v>80.3</v>
      </c>
      <c r="F82" s="61">
        <f t="shared" si="2"/>
        <v>194.1</v>
      </c>
    </row>
    <row r="83" spans="1:6">
      <c r="A83" s="68">
        <v>38718</v>
      </c>
      <c r="B83" s="42">
        <v>193.4</v>
      </c>
      <c r="C83" s="37">
        <v>80</v>
      </c>
      <c r="D83" s="62" t="str">
        <f>IF(ISBLANK(C83),INDEX(NGT_TO!$AP$513:$AZ$513,MATCH(YEAR(EOMONTH(A83,15)),NGT_TO!$AP$512:$AZ$512,0))/100,"-")</f>
        <v>-</v>
      </c>
      <c r="E83" s="61">
        <f t="shared" si="3"/>
        <v>80</v>
      </c>
      <c r="F83" s="61">
        <f t="shared" si="2"/>
        <v>193.4</v>
      </c>
    </row>
    <row r="84" spans="1:6">
      <c r="A84" s="68">
        <v>38749</v>
      </c>
      <c r="B84" s="42">
        <v>194.2</v>
      </c>
      <c r="C84" s="37">
        <v>80.2</v>
      </c>
      <c r="D84" s="62" t="str">
        <f>IF(ISBLANK(C84),INDEX(NGT_TO!$AP$513:$AZ$513,MATCH(YEAR(EOMONTH(A84,15)),NGT_TO!$AP$512:$AZ$512,0))/100,"-")</f>
        <v>-</v>
      </c>
      <c r="E84" s="61">
        <f t="shared" si="3"/>
        <v>80.2</v>
      </c>
      <c r="F84" s="61">
        <f t="shared" si="2"/>
        <v>194.2</v>
      </c>
    </row>
    <row r="85" spans="1:6">
      <c r="A85" s="68">
        <v>38777</v>
      </c>
      <c r="B85" s="42">
        <v>195</v>
      </c>
      <c r="C85" s="37">
        <v>80.400000000000006</v>
      </c>
      <c r="D85" s="62" t="str">
        <f>IF(ISBLANK(C85),INDEX(NGT_TO!$AP$513:$AZ$513,MATCH(YEAR(EOMONTH(A85,15)),NGT_TO!$AP$512:$AZ$512,0))/100,"-")</f>
        <v>-</v>
      </c>
      <c r="E85" s="61">
        <f t="shared" si="3"/>
        <v>80.400000000000006</v>
      </c>
      <c r="F85" s="61">
        <f t="shared" si="2"/>
        <v>195</v>
      </c>
    </row>
    <row r="86" spans="1:6">
      <c r="A86" s="68">
        <v>38808</v>
      </c>
      <c r="B86" s="42">
        <v>196.5</v>
      </c>
      <c r="C86" s="37">
        <v>80.900000000000006</v>
      </c>
      <c r="D86" s="62" t="str">
        <f>IF(ISBLANK(C86),INDEX(NGT_TO!$AP$513:$AZ$513,MATCH(YEAR(EOMONTH(A86,15)),NGT_TO!$AP$512:$AZ$512,0))/100,"-")</f>
        <v>-</v>
      </c>
      <c r="E86" s="61">
        <f t="shared" si="3"/>
        <v>80.900000000000006</v>
      </c>
      <c r="F86" s="61">
        <f t="shared" si="2"/>
        <v>196.5</v>
      </c>
    </row>
    <row r="87" spans="1:6">
      <c r="A87" s="68">
        <v>38838</v>
      </c>
      <c r="B87" s="42">
        <v>197.7</v>
      </c>
      <c r="C87" s="37">
        <v>81.3</v>
      </c>
      <c r="D87" s="62" t="str">
        <f>IF(ISBLANK(C87),INDEX(NGT_TO!$AP$513:$AZ$513,MATCH(YEAR(EOMONTH(A87,15)),NGT_TO!$AP$512:$AZ$512,0))/100,"-")</f>
        <v>-</v>
      </c>
      <c r="E87" s="61">
        <f t="shared" si="3"/>
        <v>81.3</v>
      </c>
      <c r="F87" s="61">
        <f t="shared" si="2"/>
        <v>197.7</v>
      </c>
    </row>
    <row r="88" spans="1:6">
      <c r="A88" s="68">
        <v>38869</v>
      </c>
      <c r="B88" s="42">
        <v>198.5</v>
      </c>
      <c r="C88" s="37">
        <v>81.5</v>
      </c>
      <c r="D88" s="62" t="str">
        <f>IF(ISBLANK(C88),INDEX(NGT_TO!$AP$513:$AZ$513,MATCH(YEAR(EOMONTH(A88,15)),NGT_TO!$AP$512:$AZ$512,0))/100,"-")</f>
        <v>-</v>
      </c>
      <c r="E88" s="61">
        <f t="shared" si="3"/>
        <v>81.5</v>
      </c>
      <c r="F88" s="61">
        <f t="shared" si="2"/>
        <v>198.5</v>
      </c>
    </row>
    <row r="89" spans="1:6">
      <c r="A89" s="68">
        <v>38899</v>
      </c>
      <c r="B89" s="42">
        <v>198.5</v>
      </c>
      <c r="C89" s="37">
        <v>81.5</v>
      </c>
      <c r="D89" s="62" t="str">
        <f>IF(ISBLANK(C89),INDEX(NGT_TO!$AP$513:$AZ$513,MATCH(YEAR(EOMONTH(A89,15)),NGT_TO!$AP$512:$AZ$512,0))/100,"-")</f>
        <v>-</v>
      </c>
      <c r="E89" s="61">
        <f t="shared" si="3"/>
        <v>81.5</v>
      </c>
      <c r="F89" s="61">
        <f t="shared" si="2"/>
        <v>198.5</v>
      </c>
    </row>
    <row r="90" spans="1:6">
      <c r="A90" s="68">
        <v>38930</v>
      </c>
      <c r="B90" s="42">
        <v>199.2</v>
      </c>
      <c r="C90" s="37">
        <v>81.8</v>
      </c>
      <c r="D90" s="62" t="str">
        <f>IF(ISBLANK(C90),INDEX(NGT_TO!$AP$513:$AZ$513,MATCH(YEAR(EOMONTH(A90,15)),NGT_TO!$AP$512:$AZ$512,0))/100,"-")</f>
        <v>-</v>
      </c>
      <c r="E90" s="61">
        <f t="shared" si="3"/>
        <v>81.8</v>
      </c>
      <c r="F90" s="61">
        <f t="shared" si="2"/>
        <v>199.2</v>
      </c>
    </row>
    <row r="91" spans="1:6">
      <c r="A91" s="68">
        <v>38961</v>
      </c>
      <c r="B91" s="42">
        <v>200.1</v>
      </c>
      <c r="C91" s="37">
        <v>81.900000000000006</v>
      </c>
      <c r="D91" s="62" t="str">
        <f>IF(ISBLANK(C91),INDEX(NGT_TO!$AP$513:$AZ$513,MATCH(YEAR(EOMONTH(A91,15)),NGT_TO!$AP$512:$AZ$512,0))/100,"-")</f>
        <v>-</v>
      </c>
      <c r="E91" s="61">
        <f t="shared" si="3"/>
        <v>81.900000000000006</v>
      </c>
      <c r="F91" s="61">
        <f t="shared" si="2"/>
        <v>200.1</v>
      </c>
    </row>
    <row r="92" spans="1:6">
      <c r="A92" s="68">
        <v>38991</v>
      </c>
      <c r="B92" s="42">
        <v>200.4</v>
      </c>
      <c r="C92" s="37">
        <v>82</v>
      </c>
      <c r="D92" s="62" t="str">
        <f>IF(ISBLANK(C92),INDEX(NGT_TO!$AP$513:$AZ$513,MATCH(YEAR(EOMONTH(A92,15)),NGT_TO!$AP$512:$AZ$512,0))/100,"-")</f>
        <v>-</v>
      </c>
      <c r="E92" s="61">
        <f t="shared" si="3"/>
        <v>82</v>
      </c>
      <c r="F92" s="61">
        <f t="shared" si="2"/>
        <v>200.4</v>
      </c>
    </row>
    <row r="93" spans="1:6">
      <c r="A93" s="68">
        <v>39022</v>
      </c>
      <c r="B93" s="42">
        <v>201.1</v>
      </c>
      <c r="C93" s="37">
        <v>82.2</v>
      </c>
      <c r="D93" s="62" t="str">
        <f>IF(ISBLANK(C93),INDEX(NGT_TO!$AP$513:$AZ$513,MATCH(YEAR(EOMONTH(A93,15)),NGT_TO!$AP$512:$AZ$512,0))/100,"-")</f>
        <v>-</v>
      </c>
      <c r="E93" s="61">
        <f t="shared" si="3"/>
        <v>82.2</v>
      </c>
      <c r="F93" s="61">
        <f t="shared" si="2"/>
        <v>201.1</v>
      </c>
    </row>
    <row r="94" spans="1:6">
      <c r="A94" s="68">
        <v>39052</v>
      </c>
      <c r="B94" s="42">
        <v>202.7</v>
      </c>
      <c r="C94" s="37">
        <v>82.6</v>
      </c>
      <c r="D94" s="62" t="str">
        <f>IF(ISBLANK(C94),INDEX(NGT_TO!$AP$513:$AZ$513,MATCH(YEAR(EOMONTH(A94,15)),NGT_TO!$AP$512:$AZ$512,0))/100,"-")</f>
        <v>-</v>
      </c>
      <c r="E94" s="61">
        <f t="shared" si="3"/>
        <v>82.6</v>
      </c>
      <c r="F94" s="61">
        <f t="shared" si="2"/>
        <v>202.7</v>
      </c>
    </row>
    <row r="95" spans="1:6">
      <c r="A95" s="68">
        <v>39083</v>
      </c>
      <c r="B95" s="42">
        <v>201.6</v>
      </c>
      <c r="C95" s="37">
        <v>82.1</v>
      </c>
      <c r="D95" s="62" t="str">
        <f>IF(ISBLANK(C95),INDEX(NGT_TO!$AP$513:$AZ$513,MATCH(YEAR(EOMONTH(A95,15)),NGT_TO!$AP$512:$AZ$512,0))/100,"-")</f>
        <v>-</v>
      </c>
      <c r="E95" s="61">
        <f t="shared" si="3"/>
        <v>82.1</v>
      </c>
      <c r="F95" s="61">
        <f t="shared" si="2"/>
        <v>201.6</v>
      </c>
    </row>
    <row r="96" spans="1:6">
      <c r="A96" s="68">
        <v>39114</v>
      </c>
      <c r="B96" s="42">
        <v>203.1</v>
      </c>
      <c r="C96" s="37">
        <v>82.4</v>
      </c>
      <c r="D96" s="62" t="str">
        <f>IF(ISBLANK(C96),INDEX(NGT_TO!$AP$513:$AZ$513,MATCH(YEAR(EOMONTH(A96,15)),NGT_TO!$AP$512:$AZ$512,0))/100,"-")</f>
        <v>-</v>
      </c>
      <c r="E96" s="61">
        <f t="shared" si="3"/>
        <v>82.4</v>
      </c>
      <c r="F96" s="61">
        <f t="shared" si="2"/>
        <v>203.1</v>
      </c>
    </row>
    <row r="97" spans="1:6">
      <c r="A97" s="68">
        <v>39142</v>
      </c>
      <c r="B97" s="42">
        <v>204.4</v>
      </c>
      <c r="C97" s="37">
        <v>82.8</v>
      </c>
      <c r="D97" s="62" t="str">
        <f>IF(ISBLANK(C97),INDEX(NGT_TO!$AP$513:$AZ$513,MATCH(YEAR(EOMONTH(A97,15)),NGT_TO!$AP$512:$AZ$512,0))/100,"-")</f>
        <v>-</v>
      </c>
      <c r="E97" s="61">
        <f t="shared" si="3"/>
        <v>82.8</v>
      </c>
      <c r="F97" s="61">
        <f t="shared" si="2"/>
        <v>204.4</v>
      </c>
    </row>
    <row r="98" spans="1:6">
      <c r="A98" s="68">
        <v>39173</v>
      </c>
      <c r="B98" s="42">
        <v>205.4</v>
      </c>
      <c r="C98" s="37">
        <v>83.1</v>
      </c>
      <c r="D98" s="62" t="str">
        <f>IF(ISBLANK(C98),INDEX(NGT_TO!$AP$513:$AZ$513,MATCH(YEAR(EOMONTH(A98,15)),NGT_TO!$AP$512:$AZ$512,0))/100,"-")</f>
        <v>-</v>
      </c>
      <c r="E98" s="61">
        <f t="shared" si="3"/>
        <v>83.1</v>
      </c>
      <c r="F98" s="61">
        <f t="shared" si="2"/>
        <v>205.4</v>
      </c>
    </row>
    <row r="99" spans="1:6">
      <c r="A99" s="68">
        <v>39203</v>
      </c>
      <c r="B99" s="42">
        <v>206.2</v>
      </c>
      <c r="C99" s="37">
        <v>83.3</v>
      </c>
      <c r="D99" s="62" t="str">
        <f>IF(ISBLANK(C99),INDEX(NGT_TO!$AP$513:$AZ$513,MATCH(YEAR(EOMONTH(A99,15)),NGT_TO!$AP$512:$AZ$512,0))/100,"-")</f>
        <v>-</v>
      </c>
      <c r="E99" s="61">
        <f t="shared" si="3"/>
        <v>83.3</v>
      </c>
      <c r="F99" s="61">
        <f t="shared" si="2"/>
        <v>206.2</v>
      </c>
    </row>
    <row r="100" spans="1:6">
      <c r="A100" s="68">
        <v>39234</v>
      </c>
      <c r="B100" s="42">
        <v>207.3</v>
      </c>
      <c r="C100" s="37">
        <v>83.5</v>
      </c>
      <c r="D100" s="62" t="str">
        <f>IF(ISBLANK(C100),INDEX(NGT_TO!$AP$513:$AZ$513,MATCH(YEAR(EOMONTH(A100,15)),NGT_TO!$AP$512:$AZ$512,0))/100,"-")</f>
        <v>-</v>
      </c>
      <c r="E100" s="61">
        <f t="shared" si="3"/>
        <v>83.5</v>
      </c>
      <c r="F100" s="61">
        <f t="shared" si="2"/>
        <v>207.3</v>
      </c>
    </row>
    <row r="101" spans="1:6">
      <c r="A101" s="68">
        <v>39264</v>
      </c>
      <c r="B101" s="42">
        <v>206.1</v>
      </c>
      <c r="C101" s="37">
        <v>83.1</v>
      </c>
      <c r="D101" s="62" t="str">
        <f>IF(ISBLANK(C101),INDEX(NGT_TO!$AP$513:$AZ$513,MATCH(YEAR(EOMONTH(A101,15)),NGT_TO!$AP$512:$AZ$512,0))/100,"-")</f>
        <v>-</v>
      </c>
      <c r="E101" s="61">
        <f t="shared" si="3"/>
        <v>83.1</v>
      </c>
      <c r="F101" s="61">
        <f t="shared" si="2"/>
        <v>206.1</v>
      </c>
    </row>
    <row r="102" spans="1:6">
      <c r="A102" s="68">
        <v>39295</v>
      </c>
      <c r="B102" s="42">
        <v>207.3</v>
      </c>
      <c r="C102" s="37">
        <v>83.4</v>
      </c>
      <c r="D102" s="62" t="str">
        <f>IF(ISBLANK(C102),INDEX(NGT_TO!$AP$513:$AZ$513,MATCH(YEAR(EOMONTH(A102,15)),NGT_TO!$AP$512:$AZ$512,0))/100,"-")</f>
        <v>-</v>
      </c>
      <c r="E102" s="61">
        <f t="shared" si="3"/>
        <v>83.4</v>
      </c>
      <c r="F102" s="61">
        <f t="shared" si="2"/>
        <v>207.3</v>
      </c>
    </row>
    <row r="103" spans="1:6">
      <c r="A103" s="68">
        <v>39326</v>
      </c>
      <c r="B103" s="42">
        <v>208</v>
      </c>
      <c r="C103" s="37">
        <v>83.5</v>
      </c>
      <c r="D103" s="62" t="str">
        <f>IF(ISBLANK(C103),INDEX(NGT_TO!$AP$513:$AZ$513,MATCH(YEAR(EOMONTH(A103,15)),NGT_TO!$AP$512:$AZ$512,0))/100,"-")</f>
        <v>-</v>
      </c>
      <c r="E103" s="61">
        <f t="shared" si="3"/>
        <v>83.5</v>
      </c>
      <c r="F103" s="61">
        <f t="shared" si="2"/>
        <v>208</v>
      </c>
    </row>
    <row r="104" spans="1:6">
      <c r="A104" s="68">
        <v>39356</v>
      </c>
      <c r="B104" s="42">
        <v>208.9</v>
      </c>
      <c r="C104" s="37">
        <v>83.8</v>
      </c>
      <c r="D104" s="62" t="str">
        <f>IF(ISBLANK(C104),INDEX(NGT_TO!$AP$513:$AZ$513,MATCH(YEAR(EOMONTH(A104,15)),NGT_TO!$AP$512:$AZ$512,0))/100,"-")</f>
        <v>-</v>
      </c>
      <c r="E104" s="61">
        <f t="shared" si="3"/>
        <v>83.8</v>
      </c>
      <c r="F104" s="61">
        <f t="shared" si="2"/>
        <v>208.9</v>
      </c>
    </row>
    <row r="105" spans="1:6">
      <c r="A105" s="68">
        <v>39387</v>
      </c>
      <c r="B105" s="42">
        <v>209.7</v>
      </c>
      <c r="C105" s="37">
        <v>84.1</v>
      </c>
      <c r="D105" s="62" t="str">
        <f>IF(ISBLANK(C105),INDEX(NGT_TO!$AP$513:$AZ$513,MATCH(YEAR(EOMONTH(A105,15)),NGT_TO!$AP$512:$AZ$512,0))/100,"-")</f>
        <v>-</v>
      </c>
      <c r="E105" s="61">
        <f t="shared" si="3"/>
        <v>84.1</v>
      </c>
      <c r="F105" s="61">
        <f t="shared" si="2"/>
        <v>209.7</v>
      </c>
    </row>
    <row r="106" spans="1:6">
      <c r="A106" s="68">
        <v>39417</v>
      </c>
      <c r="B106" s="42">
        <v>210.9</v>
      </c>
      <c r="C106" s="37">
        <v>84.5</v>
      </c>
      <c r="D106" s="62" t="str">
        <f>IF(ISBLANK(C106),INDEX(NGT_TO!$AP$513:$AZ$513,MATCH(YEAR(EOMONTH(A106,15)),NGT_TO!$AP$512:$AZ$512,0))/100,"-")</f>
        <v>-</v>
      </c>
      <c r="E106" s="61">
        <f t="shared" si="3"/>
        <v>84.5</v>
      </c>
      <c r="F106" s="61">
        <f t="shared" si="2"/>
        <v>210.9</v>
      </c>
    </row>
    <row r="107" spans="1:6">
      <c r="A107" s="68">
        <v>39448</v>
      </c>
      <c r="B107" s="42">
        <v>209.8</v>
      </c>
      <c r="C107" s="37">
        <v>84.1</v>
      </c>
      <c r="D107" s="62" t="str">
        <f>IF(ISBLANK(C107),INDEX(NGT_TO!$AP$513:$AZ$513,MATCH(YEAR(EOMONTH(A107,15)),NGT_TO!$AP$512:$AZ$512,0))/100,"-")</f>
        <v>-</v>
      </c>
      <c r="E107" s="61">
        <f t="shared" si="3"/>
        <v>84.1</v>
      </c>
      <c r="F107" s="61">
        <f t="shared" si="2"/>
        <v>209.8</v>
      </c>
    </row>
    <row r="108" spans="1:6">
      <c r="A108" s="68">
        <v>39479</v>
      </c>
      <c r="B108" s="42">
        <v>211.4</v>
      </c>
      <c r="C108" s="37">
        <v>84.6</v>
      </c>
      <c r="D108" s="62" t="str">
        <f>IF(ISBLANK(C108),INDEX(NGT_TO!$AP$513:$AZ$513,MATCH(YEAR(EOMONTH(A108,15)),NGT_TO!$AP$512:$AZ$512,0))/100,"-")</f>
        <v>-</v>
      </c>
      <c r="E108" s="61">
        <f t="shared" si="3"/>
        <v>84.6</v>
      </c>
      <c r="F108" s="61">
        <f t="shared" si="2"/>
        <v>211.4</v>
      </c>
    </row>
    <row r="109" spans="1:6">
      <c r="A109" s="68">
        <v>39508</v>
      </c>
      <c r="B109" s="42">
        <v>212.1</v>
      </c>
      <c r="C109" s="37">
        <v>84.9</v>
      </c>
      <c r="D109" s="62" t="str">
        <f>IF(ISBLANK(C109),INDEX(NGT_TO!$AP$513:$AZ$513,MATCH(YEAR(EOMONTH(A109,15)),NGT_TO!$AP$512:$AZ$512,0))/100,"-")</f>
        <v>-</v>
      </c>
      <c r="E109" s="61">
        <f t="shared" si="3"/>
        <v>84.9</v>
      </c>
      <c r="F109" s="61">
        <f t="shared" si="2"/>
        <v>212.1</v>
      </c>
    </row>
    <row r="110" spans="1:6">
      <c r="A110" s="68">
        <v>39539</v>
      </c>
      <c r="B110" s="42">
        <v>214</v>
      </c>
      <c r="C110" s="37">
        <v>85.6</v>
      </c>
      <c r="D110" s="62" t="str">
        <f>IF(ISBLANK(C110),INDEX(NGT_TO!$AP$513:$AZ$513,MATCH(YEAR(EOMONTH(A110,15)),NGT_TO!$AP$512:$AZ$512,0))/100,"-")</f>
        <v>-</v>
      </c>
      <c r="E110" s="61">
        <f t="shared" si="3"/>
        <v>85.6</v>
      </c>
      <c r="F110" s="61">
        <f t="shared" si="2"/>
        <v>214</v>
      </c>
    </row>
    <row r="111" spans="1:6">
      <c r="A111" s="68">
        <v>39569</v>
      </c>
      <c r="B111" s="42">
        <v>215.1</v>
      </c>
      <c r="C111" s="37">
        <v>86.1</v>
      </c>
      <c r="D111" s="62" t="str">
        <f>IF(ISBLANK(C111),INDEX(NGT_TO!$AP$513:$AZ$513,MATCH(YEAR(EOMONTH(A111,15)),NGT_TO!$AP$512:$AZ$512,0))/100,"-")</f>
        <v>-</v>
      </c>
      <c r="E111" s="61">
        <f t="shared" si="3"/>
        <v>86.1</v>
      </c>
      <c r="F111" s="61">
        <f t="shared" si="2"/>
        <v>215.1</v>
      </c>
    </row>
    <row r="112" spans="1:6">
      <c r="A112" s="68">
        <v>39600</v>
      </c>
      <c r="B112" s="42">
        <v>216.8</v>
      </c>
      <c r="C112" s="37">
        <v>86.6</v>
      </c>
      <c r="D112" s="62" t="str">
        <f>IF(ISBLANK(C112),INDEX(NGT_TO!$AP$513:$AZ$513,MATCH(YEAR(EOMONTH(A112,15)),NGT_TO!$AP$512:$AZ$512,0))/100,"-")</f>
        <v>-</v>
      </c>
      <c r="E112" s="61">
        <f t="shared" si="3"/>
        <v>86.6</v>
      </c>
      <c r="F112" s="61">
        <f t="shared" si="2"/>
        <v>216.8</v>
      </c>
    </row>
    <row r="113" spans="1:6">
      <c r="A113" s="68">
        <v>39630</v>
      </c>
      <c r="B113" s="42">
        <v>216.5</v>
      </c>
      <c r="C113" s="37">
        <v>86.6</v>
      </c>
      <c r="D113" s="62" t="str">
        <f>IF(ISBLANK(C113),INDEX(NGT_TO!$AP$513:$AZ$513,MATCH(YEAR(EOMONTH(A113,15)),NGT_TO!$AP$512:$AZ$512,0))/100,"-")</f>
        <v>-</v>
      </c>
      <c r="E113" s="61">
        <f t="shared" si="3"/>
        <v>86.6</v>
      </c>
      <c r="F113" s="61">
        <f t="shared" si="2"/>
        <v>216.5</v>
      </c>
    </row>
    <row r="114" spans="1:6">
      <c r="A114" s="68">
        <v>39661</v>
      </c>
      <c r="B114" s="42">
        <v>217.2</v>
      </c>
      <c r="C114" s="37">
        <v>87.1</v>
      </c>
      <c r="D114" s="62" t="str">
        <f>IF(ISBLANK(C114),INDEX(NGT_TO!$AP$513:$AZ$513,MATCH(YEAR(EOMONTH(A114,15)),NGT_TO!$AP$512:$AZ$512,0))/100,"-")</f>
        <v>-</v>
      </c>
      <c r="E114" s="61">
        <f t="shared" si="3"/>
        <v>87.1</v>
      </c>
      <c r="F114" s="61">
        <f t="shared" si="2"/>
        <v>217.2</v>
      </c>
    </row>
    <row r="115" spans="1:6">
      <c r="A115" s="68">
        <v>39692</v>
      </c>
      <c r="B115" s="42">
        <v>218.4</v>
      </c>
      <c r="C115" s="37">
        <v>87.5</v>
      </c>
      <c r="D115" s="62" t="str">
        <f>IF(ISBLANK(C115),INDEX(NGT_TO!$AP$513:$AZ$513,MATCH(YEAR(EOMONTH(A115,15)),NGT_TO!$AP$512:$AZ$512,0))/100,"-")</f>
        <v>-</v>
      </c>
      <c r="E115" s="61">
        <f t="shared" si="3"/>
        <v>87.5</v>
      </c>
      <c r="F115" s="61">
        <f t="shared" si="2"/>
        <v>218.4</v>
      </c>
    </row>
    <row r="116" spans="1:6">
      <c r="A116" s="68">
        <v>39722</v>
      </c>
      <c r="B116" s="42">
        <v>217.7</v>
      </c>
      <c r="C116" s="37">
        <v>87.3</v>
      </c>
      <c r="D116" s="62" t="str">
        <f>IF(ISBLANK(C116),INDEX(NGT_TO!$AP$513:$AZ$513,MATCH(YEAR(EOMONTH(A116,15)),NGT_TO!$AP$512:$AZ$512,0))/100,"-")</f>
        <v>-</v>
      </c>
      <c r="E116" s="61">
        <f t="shared" si="3"/>
        <v>87.3</v>
      </c>
      <c r="F116" s="61">
        <f t="shared" si="2"/>
        <v>217.7</v>
      </c>
    </row>
    <row r="117" spans="1:6">
      <c r="A117" s="68">
        <v>39753</v>
      </c>
      <c r="B117" s="42">
        <v>216</v>
      </c>
      <c r="C117" s="37">
        <v>87.3</v>
      </c>
      <c r="D117" s="62" t="str">
        <f>IF(ISBLANK(C117),INDEX(NGT_TO!$AP$513:$AZ$513,MATCH(YEAR(EOMONTH(A117,15)),NGT_TO!$AP$512:$AZ$512,0))/100,"-")</f>
        <v>-</v>
      </c>
      <c r="E117" s="61">
        <f t="shared" si="3"/>
        <v>87.3</v>
      </c>
      <c r="F117" s="61">
        <f t="shared" si="2"/>
        <v>216</v>
      </c>
    </row>
    <row r="118" spans="1:6">
      <c r="A118" s="68">
        <v>39783</v>
      </c>
      <c r="B118" s="42">
        <v>212.9</v>
      </c>
      <c r="C118" s="37">
        <v>87.1</v>
      </c>
      <c r="D118" s="62" t="str">
        <f>IF(ISBLANK(C118),INDEX(NGT_TO!$AP$513:$AZ$513,MATCH(YEAR(EOMONTH(A118,15)),NGT_TO!$AP$512:$AZ$512,0))/100,"-")</f>
        <v>-</v>
      </c>
      <c r="E118" s="61">
        <f t="shared" si="3"/>
        <v>87.1</v>
      </c>
      <c r="F118" s="61">
        <f t="shared" si="2"/>
        <v>212.9</v>
      </c>
    </row>
    <row r="119" spans="1:6">
      <c r="A119" s="68">
        <v>39814</v>
      </c>
      <c r="B119" s="42">
        <v>210.1</v>
      </c>
      <c r="C119" s="37">
        <v>86.6</v>
      </c>
      <c r="D119" s="62" t="str">
        <f>IF(ISBLANK(C119),INDEX(NGT_TO!$AP$513:$AZ$513,MATCH(YEAR(EOMONTH(A119,15)),NGT_TO!$AP$512:$AZ$512,0))/100,"-")</f>
        <v>-</v>
      </c>
      <c r="E119" s="61">
        <f t="shared" si="3"/>
        <v>86.6</v>
      </c>
      <c r="F119" s="61">
        <f t="shared" si="2"/>
        <v>210.1</v>
      </c>
    </row>
    <row r="120" spans="1:6">
      <c r="A120" s="68">
        <v>39845</v>
      </c>
      <c r="B120" s="42">
        <v>211.4</v>
      </c>
      <c r="C120" s="37">
        <v>87.2</v>
      </c>
      <c r="D120" s="62" t="str">
        <f>IF(ISBLANK(C120),INDEX(NGT_TO!$AP$513:$AZ$513,MATCH(YEAR(EOMONTH(A120,15)),NGT_TO!$AP$512:$AZ$512,0))/100,"-")</f>
        <v>-</v>
      </c>
      <c r="E120" s="61">
        <f t="shared" si="3"/>
        <v>87.2</v>
      </c>
      <c r="F120" s="61">
        <f t="shared" si="2"/>
        <v>211.4</v>
      </c>
    </row>
    <row r="121" spans="1:6">
      <c r="A121" s="68">
        <v>39873</v>
      </c>
      <c r="B121" s="42">
        <v>211.3</v>
      </c>
      <c r="C121" s="37">
        <v>87.3</v>
      </c>
      <c r="D121" s="62" t="str">
        <f>IF(ISBLANK(C121),INDEX(NGT_TO!$AP$513:$AZ$513,MATCH(YEAR(EOMONTH(A121,15)),NGT_TO!$AP$512:$AZ$512,0))/100,"-")</f>
        <v>-</v>
      </c>
      <c r="E121" s="61">
        <f t="shared" si="3"/>
        <v>87.3</v>
      </c>
      <c r="F121" s="61">
        <f t="shared" si="2"/>
        <v>211.3</v>
      </c>
    </row>
    <row r="122" spans="1:6">
      <c r="A122" s="68">
        <v>39904</v>
      </c>
      <c r="B122" s="42">
        <v>211.5</v>
      </c>
      <c r="C122" s="37">
        <v>87.5</v>
      </c>
      <c r="D122" s="62" t="str">
        <f>IF(ISBLANK(C122),INDEX(NGT_TO!$AP$513:$AZ$513,MATCH(YEAR(EOMONTH(A122,15)),NGT_TO!$AP$512:$AZ$512,0))/100,"-")</f>
        <v>-</v>
      </c>
      <c r="E122" s="61">
        <f t="shared" si="3"/>
        <v>87.5</v>
      </c>
      <c r="F122" s="61">
        <f t="shared" si="2"/>
        <v>211.5</v>
      </c>
    </row>
    <row r="123" spans="1:6">
      <c r="A123" s="68">
        <v>39934</v>
      </c>
      <c r="B123" s="42">
        <v>212.8</v>
      </c>
      <c r="C123" s="37">
        <v>87.9</v>
      </c>
      <c r="D123" s="62" t="str">
        <f>IF(ISBLANK(C123),INDEX(NGT_TO!$AP$513:$AZ$513,MATCH(YEAR(EOMONTH(A123,15)),NGT_TO!$AP$512:$AZ$512,0))/100,"-")</f>
        <v>-</v>
      </c>
      <c r="E123" s="61">
        <f t="shared" si="3"/>
        <v>87.9</v>
      </c>
      <c r="F123" s="61">
        <f t="shared" si="2"/>
        <v>212.8</v>
      </c>
    </row>
    <row r="124" spans="1:6">
      <c r="A124" s="68">
        <v>39965</v>
      </c>
      <c r="B124" s="42">
        <v>213.4</v>
      </c>
      <c r="C124" s="37">
        <v>88.1</v>
      </c>
      <c r="D124" s="62" t="str">
        <f>IF(ISBLANK(C124),INDEX(NGT_TO!$AP$513:$AZ$513,MATCH(YEAR(EOMONTH(A124,15)),NGT_TO!$AP$512:$AZ$512,0))/100,"-")</f>
        <v>-</v>
      </c>
      <c r="E124" s="61">
        <f t="shared" si="3"/>
        <v>88.1</v>
      </c>
      <c r="F124" s="61">
        <f t="shared" si="2"/>
        <v>213.4</v>
      </c>
    </row>
    <row r="125" spans="1:6">
      <c r="A125" s="68">
        <v>39995</v>
      </c>
      <c r="B125" s="42">
        <v>213.4</v>
      </c>
      <c r="C125" s="37">
        <v>88</v>
      </c>
      <c r="D125" s="62" t="str">
        <f>IF(ISBLANK(C125),INDEX(NGT_TO!$AP$513:$AZ$513,MATCH(YEAR(EOMONTH(A125,15)),NGT_TO!$AP$512:$AZ$512,0))/100,"-")</f>
        <v>-</v>
      </c>
      <c r="E125" s="61">
        <f t="shared" si="3"/>
        <v>88</v>
      </c>
      <c r="F125" s="61">
        <f t="shared" si="2"/>
        <v>213.4</v>
      </c>
    </row>
    <row r="126" spans="1:6">
      <c r="A126" s="68">
        <v>40026</v>
      </c>
      <c r="B126" s="42">
        <v>214.4</v>
      </c>
      <c r="C126" s="37">
        <v>88.3</v>
      </c>
      <c r="D126" s="62" t="str">
        <f>IF(ISBLANK(C126),INDEX(NGT_TO!$AP$513:$AZ$513,MATCH(YEAR(EOMONTH(A126,15)),NGT_TO!$AP$512:$AZ$512,0))/100,"-")</f>
        <v>-</v>
      </c>
      <c r="E126" s="61">
        <f t="shared" si="3"/>
        <v>88.3</v>
      </c>
      <c r="F126" s="61">
        <f t="shared" si="2"/>
        <v>214.4</v>
      </c>
    </row>
    <row r="127" spans="1:6">
      <c r="A127" s="68">
        <v>40057</v>
      </c>
      <c r="B127" s="42">
        <v>215.3</v>
      </c>
      <c r="C127" s="37">
        <v>88.3</v>
      </c>
      <c r="D127" s="62" t="str">
        <f>IF(ISBLANK(C127),INDEX(NGT_TO!$AP$513:$AZ$513,MATCH(YEAR(EOMONTH(A127,15)),NGT_TO!$AP$512:$AZ$512,0))/100,"-")</f>
        <v>-</v>
      </c>
      <c r="E127" s="61">
        <f t="shared" si="3"/>
        <v>88.3</v>
      </c>
      <c r="F127" s="61">
        <f t="shared" si="2"/>
        <v>215.3</v>
      </c>
    </row>
    <row r="128" spans="1:6">
      <c r="A128" s="68">
        <v>40087</v>
      </c>
      <c r="B128" s="42">
        <v>216</v>
      </c>
      <c r="C128" s="37">
        <v>88.4</v>
      </c>
      <c r="D128" s="62" t="str">
        <f>IF(ISBLANK(C128),INDEX(NGT_TO!$AP$513:$AZ$513,MATCH(YEAR(EOMONTH(A128,15)),NGT_TO!$AP$512:$AZ$512,0))/100,"-")</f>
        <v>-</v>
      </c>
      <c r="E128" s="61">
        <f t="shared" si="3"/>
        <v>88.4</v>
      </c>
      <c r="F128" s="61">
        <f t="shared" si="2"/>
        <v>216</v>
      </c>
    </row>
    <row r="129" spans="1:6">
      <c r="A129" s="68">
        <v>40118</v>
      </c>
      <c r="B129" s="42">
        <v>216.6</v>
      </c>
      <c r="C129" s="37">
        <v>88.6</v>
      </c>
      <c r="D129" s="62" t="str">
        <f>IF(ISBLANK(C129),INDEX(NGT_TO!$AP$513:$AZ$513,MATCH(YEAR(EOMONTH(A129,15)),NGT_TO!$AP$512:$AZ$512,0))/100,"-")</f>
        <v>-</v>
      </c>
      <c r="E129" s="61">
        <f t="shared" si="3"/>
        <v>88.6</v>
      </c>
      <c r="F129" s="61">
        <f t="shared" si="2"/>
        <v>216.6</v>
      </c>
    </row>
    <row r="130" spans="1:6">
      <c r="A130" s="68">
        <v>40148</v>
      </c>
      <c r="B130" s="42">
        <v>218</v>
      </c>
      <c r="C130" s="37">
        <v>88.9</v>
      </c>
      <c r="D130" s="62" t="str">
        <f>IF(ISBLANK(C130),INDEX(NGT_TO!$AP$513:$AZ$513,MATCH(YEAR(EOMONTH(A130,15)),NGT_TO!$AP$512:$AZ$512,0))/100,"-")</f>
        <v>-</v>
      </c>
      <c r="E130" s="61">
        <f t="shared" si="3"/>
        <v>88.9</v>
      </c>
      <c r="F130" s="61">
        <f t="shared" ref="F130:F193" si="4">IF(ISBLANK(B130),F129*(E130/E129),B130)</f>
        <v>218</v>
      </c>
    </row>
    <row r="131" spans="1:6">
      <c r="A131" s="68">
        <v>40179</v>
      </c>
      <c r="B131" s="42">
        <v>217.9</v>
      </c>
      <c r="C131" s="37">
        <v>88.8</v>
      </c>
      <c r="D131" s="62" t="str">
        <f>IF(ISBLANK(C131),INDEX(NGT_TO!$AP$513:$AZ$513,MATCH(YEAR(EOMONTH(A131,15)),NGT_TO!$AP$512:$AZ$512,0))/100,"-")</f>
        <v>-</v>
      </c>
      <c r="E131" s="61">
        <f t="shared" ref="E131:E194" si="5">IF(ISBLANK(C131),E130*((1+D131)^(1/12)),C131)</f>
        <v>88.8</v>
      </c>
      <c r="F131" s="61">
        <f t="shared" si="4"/>
        <v>217.9</v>
      </c>
    </row>
    <row r="132" spans="1:6">
      <c r="A132" s="68">
        <v>40210</v>
      </c>
      <c r="B132" s="42">
        <v>219.2</v>
      </c>
      <c r="C132" s="37">
        <v>89</v>
      </c>
      <c r="D132" s="62" t="str">
        <f>IF(ISBLANK(C132),INDEX(NGT_TO!$AP$513:$AZ$513,MATCH(YEAR(EOMONTH(A132,15)),NGT_TO!$AP$512:$AZ$512,0))/100,"-")</f>
        <v>-</v>
      </c>
      <c r="E132" s="61">
        <f t="shared" si="5"/>
        <v>89</v>
      </c>
      <c r="F132" s="61">
        <f t="shared" si="4"/>
        <v>219.2</v>
      </c>
    </row>
    <row r="133" spans="1:6">
      <c r="A133" s="68">
        <v>40238</v>
      </c>
      <c r="B133" s="42">
        <v>220.7</v>
      </c>
      <c r="C133" s="37">
        <v>89.4</v>
      </c>
      <c r="D133" s="62" t="str">
        <f>IF(ISBLANK(C133),INDEX(NGT_TO!$AP$513:$AZ$513,MATCH(YEAR(EOMONTH(A133,15)),NGT_TO!$AP$512:$AZ$512,0))/100,"-")</f>
        <v>-</v>
      </c>
      <c r="E133" s="61">
        <f t="shared" si="5"/>
        <v>89.4</v>
      </c>
      <c r="F133" s="61">
        <f t="shared" si="4"/>
        <v>220.7</v>
      </c>
    </row>
    <row r="134" spans="1:6">
      <c r="A134" s="68">
        <v>40269</v>
      </c>
      <c r="B134" s="42">
        <v>222.8</v>
      </c>
      <c r="C134" s="37">
        <v>89.9</v>
      </c>
      <c r="D134" s="62" t="str">
        <f>IF(ISBLANK(C134),INDEX(NGT_TO!$AP$513:$AZ$513,MATCH(YEAR(EOMONTH(A134,15)),NGT_TO!$AP$512:$AZ$512,0))/100,"-")</f>
        <v>-</v>
      </c>
      <c r="E134" s="61">
        <f t="shared" si="5"/>
        <v>89.9</v>
      </c>
      <c r="F134" s="61">
        <f t="shared" si="4"/>
        <v>222.8</v>
      </c>
    </row>
    <row r="135" spans="1:6">
      <c r="A135" s="68">
        <v>40299</v>
      </c>
      <c r="B135" s="42">
        <v>223.6</v>
      </c>
      <c r="C135" s="37">
        <v>90.1</v>
      </c>
      <c r="D135" s="62" t="str">
        <f>IF(ISBLANK(C135),INDEX(NGT_TO!$AP$513:$AZ$513,MATCH(YEAR(EOMONTH(A135,15)),NGT_TO!$AP$512:$AZ$512,0))/100,"-")</f>
        <v>-</v>
      </c>
      <c r="E135" s="61">
        <f t="shared" si="5"/>
        <v>90.1</v>
      </c>
      <c r="F135" s="61">
        <f t="shared" si="4"/>
        <v>223.6</v>
      </c>
    </row>
    <row r="136" spans="1:6">
      <c r="A136" s="68">
        <v>40330</v>
      </c>
      <c r="B136" s="42">
        <v>224.1</v>
      </c>
      <c r="C136" s="37">
        <v>90.2</v>
      </c>
      <c r="D136" s="62" t="str">
        <f>IF(ISBLANK(C136),INDEX(NGT_TO!$AP$513:$AZ$513,MATCH(YEAR(EOMONTH(A136,15)),NGT_TO!$AP$512:$AZ$512,0))/100,"-")</f>
        <v>-</v>
      </c>
      <c r="E136" s="61">
        <f t="shared" si="5"/>
        <v>90.2</v>
      </c>
      <c r="F136" s="61">
        <f t="shared" si="4"/>
        <v>224.1</v>
      </c>
    </row>
    <row r="137" spans="1:6">
      <c r="A137" s="68">
        <v>40360</v>
      </c>
      <c r="B137" s="42">
        <v>223.6</v>
      </c>
      <c r="C137" s="37">
        <v>90</v>
      </c>
      <c r="D137" s="62" t="str">
        <f>IF(ISBLANK(C137),INDEX(NGT_TO!$AP$513:$AZ$513,MATCH(YEAR(EOMONTH(A137,15)),NGT_TO!$AP$512:$AZ$512,0))/100,"-")</f>
        <v>-</v>
      </c>
      <c r="E137" s="61">
        <f t="shared" si="5"/>
        <v>90</v>
      </c>
      <c r="F137" s="61">
        <f t="shared" si="4"/>
        <v>223.6</v>
      </c>
    </row>
    <row r="138" spans="1:6">
      <c r="A138" s="68">
        <v>40391</v>
      </c>
      <c r="B138" s="42">
        <v>224.5</v>
      </c>
      <c r="C138" s="37">
        <v>90.4</v>
      </c>
      <c r="D138" s="62" t="str">
        <f>IF(ISBLANK(C138),INDEX(NGT_TO!$AP$513:$AZ$513,MATCH(YEAR(EOMONTH(A138,15)),NGT_TO!$AP$512:$AZ$512,0))/100,"-")</f>
        <v>-</v>
      </c>
      <c r="E138" s="61">
        <f t="shared" si="5"/>
        <v>90.4</v>
      </c>
      <c r="F138" s="61">
        <f t="shared" si="4"/>
        <v>224.5</v>
      </c>
    </row>
    <row r="139" spans="1:6">
      <c r="A139" s="68">
        <v>40422</v>
      </c>
      <c r="B139" s="42">
        <v>225.3</v>
      </c>
      <c r="C139" s="37">
        <v>90.4</v>
      </c>
      <c r="D139" s="62" t="str">
        <f>IF(ISBLANK(C139),INDEX(NGT_TO!$AP$513:$AZ$513,MATCH(YEAR(EOMONTH(A139,15)),NGT_TO!$AP$512:$AZ$512,0))/100,"-")</f>
        <v>-</v>
      </c>
      <c r="E139" s="61">
        <f t="shared" si="5"/>
        <v>90.4</v>
      </c>
      <c r="F139" s="61">
        <f t="shared" si="4"/>
        <v>225.3</v>
      </c>
    </row>
    <row r="140" spans="1:6">
      <c r="A140" s="68">
        <v>40452</v>
      </c>
      <c r="B140" s="42">
        <v>225.8</v>
      </c>
      <c r="C140" s="37">
        <v>90.6</v>
      </c>
      <c r="D140" s="62" t="str">
        <f>IF(ISBLANK(C140),INDEX(NGT_TO!$AP$513:$AZ$513,MATCH(YEAR(EOMONTH(A140,15)),NGT_TO!$AP$512:$AZ$512,0))/100,"-")</f>
        <v>-</v>
      </c>
      <c r="E140" s="61">
        <f t="shared" si="5"/>
        <v>90.6</v>
      </c>
      <c r="F140" s="61">
        <f t="shared" si="4"/>
        <v>225.8</v>
      </c>
    </row>
    <row r="141" spans="1:6">
      <c r="A141" s="68">
        <v>40483</v>
      </c>
      <c r="B141" s="42">
        <v>226.8</v>
      </c>
      <c r="C141" s="37">
        <v>90.9</v>
      </c>
      <c r="D141" s="62" t="str">
        <f>IF(ISBLANK(C141),INDEX(NGT_TO!$AP$513:$AZ$513,MATCH(YEAR(EOMONTH(A141,15)),NGT_TO!$AP$512:$AZ$512,0))/100,"-")</f>
        <v>-</v>
      </c>
      <c r="E141" s="61">
        <f t="shared" si="5"/>
        <v>90.9</v>
      </c>
      <c r="F141" s="61">
        <f t="shared" si="4"/>
        <v>226.8</v>
      </c>
    </row>
    <row r="142" spans="1:6">
      <c r="A142" s="68">
        <v>40513</v>
      </c>
      <c r="B142" s="42">
        <v>228.4</v>
      </c>
      <c r="C142" s="37">
        <v>91.7</v>
      </c>
      <c r="D142" s="62" t="str">
        <f>IF(ISBLANK(C142),INDEX(NGT_TO!$AP$513:$AZ$513,MATCH(YEAR(EOMONTH(A142,15)),NGT_TO!$AP$512:$AZ$512,0))/100,"-")</f>
        <v>-</v>
      </c>
      <c r="E142" s="61">
        <f t="shared" si="5"/>
        <v>91.7</v>
      </c>
      <c r="F142" s="61">
        <f t="shared" si="4"/>
        <v>228.4</v>
      </c>
    </row>
    <row r="143" spans="1:6">
      <c r="A143" s="68">
        <v>40544</v>
      </c>
      <c r="B143" s="42">
        <v>229</v>
      </c>
      <c r="C143" s="37">
        <v>91.8</v>
      </c>
      <c r="D143" s="62" t="str">
        <f>IF(ISBLANK(C143),INDEX(NGT_TO!$AP$513:$AZ$513,MATCH(YEAR(EOMONTH(A143,15)),NGT_TO!$AP$512:$AZ$512,0))/100,"-")</f>
        <v>-</v>
      </c>
      <c r="E143" s="61">
        <f t="shared" si="5"/>
        <v>91.8</v>
      </c>
      <c r="F143" s="61">
        <f t="shared" si="4"/>
        <v>229</v>
      </c>
    </row>
    <row r="144" spans="1:6">
      <c r="A144" s="68">
        <v>40575</v>
      </c>
      <c r="B144" s="42">
        <v>231.3</v>
      </c>
      <c r="C144" s="37">
        <v>92.3</v>
      </c>
      <c r="D144" s="62" t="str">
        <f>IF(ISBLANK(C144),INDEX(NGT_TO!$AP$513:$AZ$513,MATCH(YEAR(EOMONTH(A144,15)),NGT_TO!$AP$512:$AZ$512,0))/100,"-")</f>
        <v>-</v>
      </c>
      <c r="E144" s="61">
        <f t="shared" si="5"/>
        <v>92.3</v>
      </c>
      <c r="F144" s="61">
        <f t="shared" si="4"/>
        <v>231.3</v>
      </c>
    </row>
    <row r="145" spans="1:6">
      <c r="A145" s="68">
        <v>40603</v>
      </c>
      <c r="B145" s="42">
        <v>232.5</v>
      </c>
      <c r="C145" s="37">
        <v>92.6</v>
      </c>
      <c r="D145" s="62" t="str">
        <f>IF(ISBLANK(C145),INDEX(NGT_TO!$AP$513:$AZ$513,MATCH(YEAR(EOMONTH(A145,15)),NGT_TO!$AP$512:$AZ$512,0))/100,"-")</f>
        <v>-</v>
      </c>
      <c r="E145" s="61">
        <f t="shared" si="5"/>
        <v>92.6</v>
      </c>
      <c r="F145" s="61">
        <f t="shared" si="4"/>
        <v>232.5</v>
      </c>
    </row>
    <row r="146" spans="1:6">
      <c r="A146" s="68">
        <v>40634</v>
      </c>
      <c r="B146" s="42">
        <v>234.4</v>
      </c>
      <c r="C146" s="37">
        <v>93.3</v>
      </c>
      <c r="D146" s="62" t="str">
        <f>IF(ISBLANK(C146),INDEX(NGT_TO!$AP$513:$AZ$513,MATCH(YEAR(EOMONTH(A146,15)),NGT_TO!$AP$512:$AZ$512,0))/100,"-")</f>
        <v>-</v>
      </c>
      <c r="E146" s="61">
        <f t="shared" si="5"/>
        <v>93.3</v>
      </c>
      <c r="F146" s="61">
        <f t="shared" si="4"/>
        <v>234.4</v>
      </c>
    </row>
    <row r="147" spans="1:6">
      <c r="A147" s="68">
        <v>40664</v>
      </c>
      <c r="B147" s="42">
        <v>235.2</v>
      </c>
      <c r="C147" s="37">
        <v>93.5</v>
      </c>
      <c r="D147" s="62" t="str">
        <f>IF(ISBLANK(C147),INDEX(NGT_TO!$AP$513:$AZ$513,MATCH(YEAR(EOMONTH(A147,15)),NGT_TO!$AP$512:$AZ$512,0))/100,"-")</f>
        <v>-</v>
      </c>
      <c r="E147" s="61">
        <f t="shared" si="5"/>
        <v>93.5</v>
      </c>
      <c r="F147" s="61">
        <f t="shared" si="4"/>
        <v>235.2</v>
      </c>
    </row>
    <row r="148" spans="1:6">
      <c r="A148" s="68">
        <v>40695</v>
      </c>
      <c r="B148" s="42">
        <v>235.2</v>
      </c>
      <c r="C148" s="37">
        <v>93.5</v>
      </c>
      <c r="D148" s="62" t="str">
        <f>IF(ISBLANK(C148),INDEX(NGT_TO!$AP$513:$AZ$513,MATCH(YEAR(EOMONTH(A148,15)),NGT_TO!$AP$512:$AZ$512,0))/100,"-")</f>
        <v>-</v>
      </c>
      <c r="E148" s="61">
        <f t="shared" si="5"/>
        <v>93.5</v>
      </c>
      <c r="F148" s="61">
        <f t="shared" si="4"/>
        <v>235.2</v>
      </c>
    </row>
    <row r="149" spans="1:6">
      <c r="A149" s="68">
        <v>40725</v>
      </c>
      <c r="B149" s="42">
        <v>234.7</v>
      </c>
      <c r="C149" s="37">
        <v>93.5</v>
      </c>
      <c r="D149" s="62" t="str">
        <f>IF(ISBLANK(C149),INDEX(NGT_TO!$AP$513:$AZ$513,MATCH(YEAR(EOMONTH(A149,15)),NGT_TO!$AP$512:$AZ$512,0))/100,"-")</f>
        <v>-</v>
      </c>
      <c r="E149" s="61">
        <f t="shared" si="5"/>
        <v>93.5</v>
      </c>
      <c r="F149" s="61">
        <f t="shared" si="4"/>
        <v>234.7</v>
      </c>
    </row>
    <row r="150" spans="1:6">
      <c r="A150" s="68">
        <v>40756</v>
      </c>
      <c r="B150" s="42">
        <v>236.1</v>
      </c>
      <c r="C150" s="37">
        <v>93.9</v>
      </c>
      <c r="D150" s="62" t="str">
        <f>IF(ISBLANK(C150),INDEX(NGT_TO!$AP$513:$AZ$513,MATCH(YEAR(EOMONTH(A150,15)),NGT_TO!$AP$512:$AZ$512,0))/100,"-")</f>
        <v>-</v>
      </c>
      <c r="E150" s="61">
        <f t="shared" si="5"/>
        <v>93.9</v>
      </c>
      <c r="F150" s="61">
        <f t="shared" si="4"/>
        <v>236.1</v>
      </c>
    </row>
    <row r="151" spans="1:6">
      <c r="A151" s="68">
        <v>40787</v>
      </c>
      <c r="B151" s="42">
        <v>237.9</v>
      </c>
      <c r="C151" s="37">
        <v>94.5</v>
      </c>
      <c r="D151" s="62" t="str">
        <f>IF(ISBLANK(C151),INDEX(NGT_TO!$AP$513:$AZ$513,MATCH(YEAR(EOMONTH(A151,15)),NGT_TO!$AP$512:$AZ$512,0))/100,"-")</f>
        <v>-</v>
      </c>
      <c r="E151" s="61">
        <f t="shared" si="5"/>
        <v>94.5</v>
      </c>
      <c r="F151" s="61">
        <f t="shared" si="4"/>
        <v>237.9</v>
      </c>
    </row>
    <row r="152" spans="1:6">
      <c r="A152" s="68">
        <v>40817</v>
      </c>
      <c r="B152" s="42">
        <v>238</v>
      </c>
      <c r="C152" s="37">
        <v>94.5</v>
      </c>
      <c r="D152" s="62" t="str">
        <f>IF(ISBLANK(C152),INDEX(NGT_TO!$AP$513:$AZ$513,MATCH(YEAR(EOMONTH(A152,15)),NGT_TO!$AP$512:$AZ$512,0))/100,"-")</f>
        <v>-</v>
      </c>
      <c r="E152" s="61">
        <f t="shared" si="5"/>
        <v>94.5</v>
      </c>
      <c r="F152" s="61">
        <f t="shared" si="4"/>
        <v>238</v>
      </c>
    </row>
    <row r="153" spans="1:6">
      <c r="A153" s="68">
        <v>40848</v>
      </c>
      <c r="B153" s="42">
        <v>238.5</v>
      </c>
      <c r="C153" s="37">
        <v>94.7</v>
      </c>
      <c r="D153" s="62" t="str">
        <f>IF(ISBLANK(C153),INDEX(NGT_TO!$AP$513:$AZ$513,MATCH(YEAR(EOMONTH(A153,15)),NGT_TO!$AP$512:$AZ$512,0))/100,"-")</f>
        <v>-</v>
      </c>
      <c r="E153" s="61">
        <f t="shared" si="5"/>
        <v>94.7</v>
      </c>
      <c r="F153" s="61">
        <f t="shared" si="4"/>
        <v>238.5</v>
      </c>
    </row>
    <row r="154" spans="1:6">
      <c r="A154" s="68">
        <v>40878</v>
      </c>
      <c r="B154" s="42">
        <v>239.4</v>
      </c>
      <c r="C154" s="37">
        <v>95</v>
      </c>
      <c r="D154" s="62" t="str">
        <f>IF(ISBLANK(C154),INDEX(NGT_TO!$AP$513:$AZ$513,MATCH(YEAR(EOMONTH(A154,15)),NGT_TO!$AP$512:$AZ$512,0))/100,"-")</f>
        <v>-</v>
      </c>
      <c r="E154" s="61">
        <f t="shared" si="5"/>
        <v>95</v>
      </c>
      <c r="F154" s="61">
        <f t="shared" si="4"/>
        <v>239.4</v>
      </c>
    </row>
    <row r="155" spans="1:6">
      <c r="A155" s="68">
        <v>40909</v>
      </c>
      <c r="B155" s="42">
        <v>238</v>
      </c>
      <c r="C155" s="37">
        <v>94.7</v>
      </c>
      <c r="D155" s="62" t="str">
        <f>IF(ISBLANK(C155),INDEX(NGT_TO!$AP$513:$AZ$513,MATCH(YEAR(EOMONTH(A155,15)),NGT_TO!$AP$512:$AZ$512,0))/100,"-")</f>
        <v>-</v>
      </c>
      <c r="E155" s="61">
        <f t="shared" si="5"/>
        <v>94.7</v>
      </c>
      <c r="F155" s="61">
        <f t="shared" si="4"/>
        <v>238</v>
      </c>
    </row>
    <row r="156" spans="1:6">
      <c r="A156" s="68">
        <v>40940</v>
      </c>
      <c r="B156" s="42">
        <v>239.9</v>
      </c>
      <c r="C156" s="37">
        <v>95.2</v>
      </c>
      <c r="D156" s="62" t="str">
        <f>IF(ISBLANK(C156),INDEX(NGT_TO!$AP$513:$AZ$513,MATCH(YEAR(EOMONTH(A156,15)),NGT_TO!$AP$512:$AZ$512,0))/100,"-")</f>
        <v>-</v>
      </c>
      <c r="E156" s="61">
        <f t="shared" si="5"/>
        <v>95.2</v>
      </c>
      <c r="F156" s="61">
        <f t="shared" si="4"/>
        <v>239.9</v>
      </c>
    </row>
    <row r="157" spans="1:6">
      <c r="A157" s="68">
        <v>40969</v>
      </c>
      <c r="B157" s="42">
        <v>240.8</v>
      </c>
      <c r="C157" s="37">
        <v>95.4</v>
      </c>
      <c r="D157" s="62" t="str">
        <f>IF(ISBLANK(C157),INDEX(NGT_TO!$AP$513:$AZ$513,MATCH(YEAR(EOMONTH(A157,15)),NGT_TO!$AP$512:$AZ$512,0))/100,"-")</f>
        <v>-</v>
      </c>
      <c r="E157" s="61">
        <f t="shared" si="5"/>
        <v>95.4</v>
      </c>
      <c r="F157" s="61">
        <f t="shared" si="4"/>
        <v>240.8</v>
      </c>
    </row>
    <row r="158" spans="1:6">
      <c r="A158" s="68">
        <v>41000</v>
      </c>
      <c r="B158" s="42">
        <v>242.5</v>
      </c>
      <c r="C158" s="37">
        <v>95.9</v>
      </c>
      <c r="D158" s="62" t="str">
        <f>IF(ISBLANK(C158),INDEX(NGT_TO!$AP$513:$AZ$513,MATCH(YEAR(EOMONTH(A158,15)),NGT_TO!$AP$512:$AZ$512,0))/100,"-")</f>
        <v>-</v>
      </c>
      <c r="E158" s="61">
        <f t="shared" si="5"/>
        <v>95.9</v>
      </c>
      <c r="F158" s="61">
        <f t="shared" si="4"/>
        <v>242.5</v>
      </c>
    </row>
    <row r="159" spans="1:6">
      <c r="A159" s="68">
        <v>41030</v>
      </c>
      <c r="B159" s="42">
        <v>242.4</v>
      </c>
      <c r="C159" s="37">
        <v>95.9</v>
      </c>
      <c r="D159" s="62" t="str">
        <f>IF(ISBLANK(C159),INDEX(NGT_TO!$AP$513:$AZ$513,MATCH(YEAR(EOMONTH(A159,15)),NGT_TO!$AP$512:$AZ$512,0))/100,"-")</f>
        <v>-</v>
      </c>
      <c r="E159" s="61">
        <f t="shared" si="5"/>
        <v>95.9</v>
      </c>
      <c r="F159" s="61">
        <f t="shared" si="4"/>
        <v>242.4</v>
      </c>
    </row>
    <row r="160" spans="1:6">
      <c r="A160" s="68">
        <v>41061</v>
      </c>
      <c r="B160" s="42">
        <v>241.8</v>
      </c>
      <c r="C160" s="37">
        <v>95.6</v>
      </c>
      <c r="D160" s="62" t="str">
        <f>IF(ISBLANK(C160),INDEX(NGT_TO!$AP$513:$AZ$513,MATCH(YEAR(EOMONTH(A160,15)),NGT_TO!$AP$512:$AZ$512,0))/100,"-")</f>
        <v>-</v>
      </c>
      <c r="E160" s="61">
        <f t="shared" si="5"/>
        <v>95.6</v>
      </c>
      <c r="F160" s="61">
        <f t="shared" si="4"/>
        <v>241.8</v>
      </c>
    </row>
    <row r="161" spans="1:6">
      <c r="A161" s="68">
        <v>41091</v>
      </c>
      <c r="B161" s="42">
        <v>242.1</v>
      </c>
      <c r="C161" s="37">
        <v>95.7</v>
      </c>
      <c r="D161" s="62" t="str">
        <f>IF(ISBLANK(C161),INDEX(NGT_TO!$AP$513:$AZ$513,MATCH(YEAR(EOMONTH(A161,15)),NGT_TO!$AP$512:$AZ$512,0))/100,"-")</f>
        <v>-</v>
      </c>
      <c r="E161" s="61">
        <f t="shared" si="5"/>
        <v>95.7</v>
      </c>
      <c r="F161" s="61">
        <f t="shared" si="4"/>
        <v>242.1</v>
      </c>
    </row>
    <row r="162" spans="1:6">
      <c r="A162" s="68">
        <v>41122</v>
      </c>
      <c r="B162" s="42">
        <v>243</v>
      </c>
      <c r="C162" s="37">
        <v>96.1</v>
      </c>
      <c r="D162" s="62" t="str">
        <f>IF(ISBLANK(C162),INDEX(NGT_TO!$AP$513:$AZ$513,MATCH(YEAR(EOMONTH(A162,15)),NGT_TO!$AP$512:$AZ$512,0))/100,"-")</f>
        <v>-</v>
      </c>
      <c r="E162" s="61">
        <f t="shared" si="5"/>
        <v>96.1</v>
      </c>
      <c r="F162" s="61">
        <f t="shared" si="4"/>
        <v>243</v>
      </c>
    </row>
    <row r="163" spans="1:6">
      <c r="A163" s="68">
        <v>41153</v>
      </c>
      <c r="B163" s="42">
        <v>244.2</v>
      </c>
      <c r="C163" s="37">
        <v>96.4</v>
      </c>
      <c r="D163" s="62" t="str">
        <f>IF(ISBLANK(C163),INDEX(NGT_TO!$AP$513:$AZ$513,MATCH(YEAR(EOMONTH(A163,15)),NGT_TO!$AP$512:$AZ$512,0))/100,"-")</f>
        <v>-</v>
      </c>
      <c r="E163" s="61">
        <f t="shared" si="5"/>
        <v>96.4</v>
      </c>
      <c r="F163" s="61">
        <f t="shared" si="4"/>
        <v>244.2</v>
      </c>
    </row>
    <row r="164" spans="1:6">
      <c r="A164" s="68">
        <v>41183</v>
      </c>
      <c r="B164" s="42">
        <v>245.6</v>
      </c>
      <c r="C164" s="37">
        <v>96.8</v>
      </c>
      <c r="D164" s="62" t="str">
        <f>IF(ISBLANK(C164),INDEX(NGT_TO!$AP$513:$AZ$513,MATCH(YEAR(EOMONTH(A164,15)),NGT_TO!$AP$512:$AZ$512,0))/100,"-")</f>
        <v>-</v>
      </c>
      <c r="E164" s="61">
        <f t="shared" si="5"/>
        <v>96.8</v>
      </c>
      <c r="F164" s="61">
        <f t="shared" si="4"/>
        <v>245.6</v>
      </c>
    </row>
    <row r="165" spans="1:6">
      <c r="A165" s="68">
        <v>41214</v>
      </c>
      <c r="B165" s="42">
        <v>245.6</v>
      </c>
      <c r="C165" s="37">
        <v>97</v>
      </c>
      <c r="D165" s="62" t="str">
        <f>IF(ISBLANK(C165),INDEX(NGT_TO!$AP$513:$AZ$513,MATCH(YEAR(EOMONTH(A165,15)),NGT_TO!$AP$512:$AZ$512,0))/100,"-")</f>
        <v>-</v>
      </c>
      <c r="E165" s="61">
        <f t="shared" si="5"/>
        <v>97</v>
      </c>
      <c r="F165" s="61">
        <f t="shared" si="4"/>
        <v>245.6</v>
      </c>
    </row>
    <row r="166" spans="1:6">
      <c r="A166" s="68">
        <v>41244</v>
      </c>
      <c r="B166" s="42">
        <v>246.8</v>
      </c>
      <c r="C166" s="37">
        <v>97.3</v>
      </c>
      <c r="D166" s="62" t="str">
        <f>IF(ISBLANK(C166),INDEX(NGT_TO!$AP$513:$AZ$513,MATCH(YEAR(EOMONTH(A166,15)),NGT_TO!$AP$512:$AZ$512,0))/100,"-")</f>
        <v>-</v>
      </c>
      <c r="E166" s="61">
        <f t="shared" si="5"/>
        <v>97.3</v>
      </c>
      <c r="F166" s="61">
        <f t="shared" si="4"/>
        <v>246.8</v>
      </c>
    </row>
    <row r="167" spans="1:6">
      <c r="A167" s="68">
        <v>41275</v>
      </c>
      <c r="B167" s="42">
        <v>245.8</v>
      </c>
      <c r="C167" s="37">
        <v>97</v>
      </c>
      <c r="D167" s="62" t="str">
        <f>IF(ISBLANK(C167),INDEX(NGT_TO!$AP$513:$AZ$513,MATCH(YEAR(EOMONTH(A167,15)),NGT_TO!$AP$512:$AZ$512,0))/100,"-")</f>
        <v>-</v>
      </c>
      <c r="E167" s="61">
        <f t="shared" si="5"/>
        <v>97</v>
      </c>
      <c r="F167" s="61">
        <f t="shared" si="4"/>
        <v>245.8</v>
      </c>
    </row>
    <row r="168" spans="1:6">
      <c r="A168" s="68">
        <v>41306</v>
      </c>
      <c r="B168" s="42">
        <v>247.6</v>
      </c>
      <c r="C168" s="37">
        <v>97.5</v>
      </c>
      <c r="D168" s="62" t="str">
        <f>IF(ISBLANK(C168),INDEX(NGT_TO!$AP$513:$AZ$513,MATCH(YEAR(EOMONTH(A168,15)),NGT_TO!$AP$512:$AZ$512,0))/100,"-")</f>
        <v>-</v>
      </c>
      <c r="E168" s="61">
        <f t="shared" si="5"/>
        <v>97.5</v>
      </c>
      <c r="F168" s="61">
        <f t="shared" si="4"/>
        <v>247.6</v>
      </c>
    </row>
    <row r="169" spans="1:6">
      <c r="A169" s="68">
        <v>41334</v>
      </c>
      <c r="B169" s="42">
        <v>248.7</v>
      </c>
      <c r="C169" s="37">
        <v>97.8</v>
      </c>
      <c r="D169" s="62" t="str">
        <f>IF(ISBLANK(C169),INDEX(NGT_TO!$AP$513:$AZ$513,MATCH(YEAR(EOMONTH(A169,15)),NGT_TO!$AP$512:$AZ$512,0))/100,"-")</f>
        <v>-</v>
      </c>
      <c r="E169" s="61">
        <f t="shared" si="5"/>
        <v>97.8</v>
      </c>
      <c r="F169" s="61">
        <f t="shared" si="4"/>
        <v>248.7</v>
      </c>
    </row>
    <row r="170" spans="1:6">
      <c r="A170" s="68">
        <v>41365</v>
      </c>
      <c r="B170" s="42">
        <v>249.5</v>
      </c>
      <c r="C170" s="37">
        <v>98</v>
      </c>
      <c r="D170" s="62" t="str">
        <f>IF(ISBLANK(C170),INDEX(NGT_TO!$AP$513:$AZ$513,MATCH(YEAR(EOMONTH(A170,15)),NGT_TO!$AP$512:$AZ$512,0))/100,"-")</f>
        <v>-</v>
      </c>
      <c r="E170" s="61">
        <f t="shared" si="5"/>
        <v>98</v>
      </c>
      <c r="F170" s="61">
        <f t="shared" si="4"/>
        <v>249.5</v>
      </c>
    </row>
    <row r="171" spans="1:6">
      <c r="A171" s="68">
        <v>41395</v>
      </c>
      <c r="B171" s="42">
        <v>250</v>
      </c>
      <c r="C171" s="37">
        <v>98.2</v>
      </c>
      <c r="D171" s="62" t="str">
        <f>IF(ISBLANK(C171),INDEX(NGT_TO!$AP$513:$AZ$513,MATCH(YEAR(EOMONTH(A171,15)),NGT_TO!$AP$512:$AZ$512,0))/100,"-")</f>
        <v>-</v>
      </c>
      <c r="E171" s="61">
        <f t="shared" si="5"/>
        <v>98.2</v>
      </c>
      <c r="F171" s="61">
        <f t="shared" si="4"/>
        <v>250</v>
      </c>
    </row>
    <row r="172" spans="1:6">
      <c r="A172" s="68">
        <v>41426</v>
      </c>
      <c r="B172" s="42">
        <v>249.7</v>
      </c>
      <c r="C172" s="37">
        <v>98</v>
      </c>
      <c r="D172" s="62" t="str">
        <f>IF(ISBLANK(C172),INDEX(NGT_TO!$AP$513:$AZ$513,MATCH(YEAR(EOMONTH(A172,15)),NGT_TO!$AP$512:$AZ$512,0))/100,"-")</f>
        <v>-</v>
      </c>
      <c r="E172" s="61">
        <f t="shared" si="5"/>
        <v>98</v>
      </c>
      <c r="F172" s="61">
        <f t="shared" si="4"/>
        <v>249.7</v>
      </c>
    </row>
    <row r="173" spans="1:6">
      <c r="A173" s="68">
        <v>41456</v>
      </c>
      <c r="B173" s="42">
        <v>249.7</v>
      </c>
      <c r="C173" s="37">
        <v>98</v>
      </c>
      <c r="D173" s="62" t="str">
        <f>IF(ISBLANK(C173),INDEX(NGT_TO!$AP$513:$AZ$513,MATCH(YEAR(EOMONTH(A173,15)),NGT_TO!$AP$512:$AZ$512,0))/100,"-")</f>
        <v>-</v>
      </c>
      <c r="E173" s="61">
        <f t="shared" si="5"/>
        <v>98</v>
      </c>
      <c r="F173" s="61">
        <f t="shared" si="4"/>
        <v>249.7</v>
      </c>
    </row>
    <row r="174" spans="1:6">
      <c r="A174" s="68">
        <v>41487</v>
      </c>
      <c r="B174" s="42">
        <v>251</v>
      </c>
      <c r="C174" s="37">
        <v>98.4</v>
      </c>
      <c r="D174" s="62" t="str">
        <f>IF(ISBLANK(C174),INDEX(NGT_TO!$AP$513:$AZ$513,MATCH(YEAR(EOMONTH(A174,15)),NGT_TO!$AP$512:$AZ$512,0))/100,"-")</f>
        <v>-</v>
      </c>
      <c r="E174" s="61">
        <f t="shared" si="5"/>
        <v>98.4</v>
      </c>
      <c r="F174" s="61">
        <f t="shared" si="4"/>
        <v>251</v>
      </c>
    </row>
    <row r="175" spans="1:6">
      <c r="A175" s="68">
        <v>41518</v>
      </c>
      <c r="B175" s="42">
        <v>251.9</v>
      </c>
      <c r="C175" s="37">
        <v>98.7</v>
      </c>
      <c r="D175" s="62" t="str">
        <f>IF(ISBLANK(C175),INDEX(NGT_TO!$AP$513:$AZ$513,MATCH(YEAR(EOMONTH(A175,15)),NGT_TO!$AP$512:$AZ$512,0))/100,"-")</f>
        <v>-</v>
      </c>
      <c r="E175" s="61">
        <f t="shared" si="5"/>
        <v>98.7</v>
      </c>
      <c r="F175" s="61">
        <f t="shared" si="4"/>
        <v>251.9</v>
      </c>
    </row>
    <row r="176" spans="1:6">
      <c r="A176" s="68">
        <v>41548</v>
      </c>
      <c r="B176" s="42">
        <v>251.9</v>
      </c>
      <c r="C176" s="37">
        <v>98.8</v>
      </c>
      <c r="D176" s="62" t="str">
        <f>IF(ISBLANK(C176),INDEX(NGT_TO!$AP$513:$AZ$513,MATCH(YEAR(EOMONTH(A176,15)),NGT_TO!$AP$512:$AZ$512,0))/100,"-")</f>
        <v>-</v>
      </c>
      <c r="E176" s="61">
        <f t="shared" si="5"/>
        <v>98.8</v>
      </c>
      <c r="F176" s="61">
        <f t="shared" si="4"/>
        <v>251.9</v>
      </c>
    </row>
    <row r="177" spans="1:6">
      <c r="A177" s="68">
        <v>41579</v>
      </c>
      <c r="B177" s="42">
        <v>252.1</v>
      </c>
      <c r="C177" s="37">
        <v>98.8</v>
      </c>
      <c r="D177" s="62" t="str">
        <f>IF(ISBLANK(C177),INDEX(NGT_TO!$AP$513:$AZ$513,MATCH(YEAR(EOMONTH(A177,15)),NGT_TO!$AP$512:$AZ$512,0))/100,"-")</f>
        <v>-</v>
      </c>
      <c r="E177" s="61">
        <f t="shared" si="5"/>
        <v>98.8</v>
      </c>
      <c r="F177" s="61">
        <f t="shared" si="4"/>
        <v>252.1</v>
      </c>
    </row>
    <row r="178" spans="1:6">
      <c r="A178" s="68">
        <v>41609</v>
      </c>
      <c r="B178" s="42">
        <v>253.4</v>
      </c>
      <c r="C178" s="37">
        <v>99.2</v>
      </c>
      <c r="D178" s="62" t="str">
        <f>IF(ISBLANK(C178),INDEX(NGT_TO!$AP$513:$AZ$513,MATCH(YEAR(EOMONTH(A178,15)),NGT_TO!$AP$512:$AZ$512,0))/100,"-")</f>
        <v>-</v>
      </c>
      <c r="E178" s="61">
        <f t="shared" si="5"/>
        <v>99.2</v>
      </c>
      <c r="F178" s="61">
        <f t="shared" si="4"/>
        <v>253.4</v>
      </c>
    </row>
    <row r="179" spans="1:6">
      <c r="A179" s="68">
        <v>41640</v>
      </c>
      <c r="B179" s="42">
        <v>252.6</v>
      </c>
      <c r="C179" s="37">
        <v>98.7</v>
      </c>
      <c r="D179" s="62" t="str">
        <f>IF(ISBLANK(C179),INDEX(NGT_TO!$AP$513:$AZ$513,MATCH(YEAR(EOMONTH(A179,15)),NGT_TO!$AP$512:$AZ$512,0))/100,"-")</f>
        <v>-</v>
      </c>
      <c r="E179" s="61">
        <f t="shared" si="5"/>
        <v>98.7</v>
      </c>
      <c r="F179" s="61">
        <f t="shared" si="4"/>
        <v>252.6</v>
      </c>
    </row>
    <row r="180" spans="1:6">
      <c r="A180" s="68">
        <v>41671</v>
      </c>
      <c r="B180" s="42">
        <v>254.2</v>
      </c>
      <c r="C180" s="37">
        <v>99.1</v>
      </c>
      <c r="D180" s="62" t="str">
        <f>IF(ISBLANK(C180),INDEX(NGT_TO!$AP$513:$AZ$513,MATCH(YEAR(EOMONTH(A180,15)),NGT_TO!$AP$512:$AZ$512,0))/100,"-")</f>
        <v>-</v>
      </c>
      <c r="E180" s="61">
        <f t="shared" si="5"/>
        <v>99.1</v>
      </c>
      <c r="F180" s="61">
        <f t="shared" si="4"/>
        <v>254.2</v>
      </c>
    </row>
    <row r="181" spans="1:6">
      <c r="A181" s="68">
        <v>41699</v>
      </c>
      <c r="B181" s="42">
        <v>254.8</v>
      </c>
      <c r="C181" s="37">
        <v>99.3</v>
      </c>
      <c r="D181" s="62" t="str">
        <f>IF(ISBLANK(C181),INDEX(NGT_TO!$AP$513:$AZ$513,MATCH(YEAR(EOMONTH(A181,15)),NGT_TO!$AP$512:$AZ$512,0))/100,"-")</f>
        <v>-</v>
      </c>
      <c r="E181" s="61">
        <f t="shared" si="5"/>
        <v>99.3</v>
      </c>
      <c r="F181" s="61">
        <f t="shared" si="4"/>
        <v>254.8</v>
      </c>
    </row>
    <row r="182" spans="1:6">
      <c r="A182" s="68">
        <v>41730</v>
      </c>
      <c r="B182" s="42">
        <v>255.7</v>
      </c>
      <c r="C182" s="37">
        <v>99.6</v>
      </c>
      <c r="D182" s="62" t="str">
        <f>IF(ISBLANK(C182),INDEX(NGT_TO!$AP$513:$AZ$513,MATCH(YEAR(EOMONTH(A182,15)),NGT_TO!$AP$512:$AZ$512,0))/100,"-")</f>
        <v>-</v>
      </c>
      <c r="E182" s="61">
        <f t="shared" si="5"/>
        <v>99.6</v>
      </c>
      <c r="F182" s="61">
        <f t="shared" si="4"/>
        <v>255.7</v>
      </c>
    </row>
    <row r="183" spans="1:6">
      <c r="A183" s="68">
        <v>41760</v>
      </c>
      <c r="B183" s="42">
        <v>255.9</v>
      </c>
      <c r="C183" s="37">
        <v>99.6</v>
      </c>
      <c r="D183" s="62" t="str">
        <f>IF(ISBLANK(C183),INDEX(NGT_TO!$AP$513:$AZ$513,MATCH(YEAR(EOMONTH(A183,15)),NGT_TO!$AP$512:$AZ$512,0))/100,"-")</f>
        <v>-</v>
      </c>
      <c r="E183" s="61">
        <f t="shared" si="5"/>
        <v>99.6</v>
      </c>
      <c r="F183" s="61">
        <f t="shared" si="4"/>
        <v>255.9</v>
      </c>
    </row>
    <row r="184" spans="1:6">
      <c r="A184" s="68">
        <v>41791</v>
      </c>
      <c r="B184" s="42">
        <v>256.3</v>
      </c>
      <c r="C184" s="37">
        <v>99.8</v>
      </c>
      <c r="D184" s="62" t="str">
        <f>IF(ISBLANK(C184),INDEX(NGT_TO!$AP$513:$AZ$513,MATCH(YEAR(EOMONTH(A184,15)),NGT_TO!$AP$512:$AZ$512,0))/100,"-")</f>
        <v>-</v>
      </c>
      <c r="E184" s="61">
        <f t="shared" si="5"/>
        <v>99.8</v>
      </c>
      <c r="F184" s="61">
        <f t="shared" si="4"/>
        <v>256.3</v>
      </c>
    </row>
    <row r="185" spans="1:6">
      <c r="A185" s="68">
        <v>41821</v>
      </c>
      <c r="B185" s="42">
        <v>256</v>
      </c>
      <c r="C185" s="37">
        <v>99.6</v>
      </c>
      <c r="D185" s="62" t="str">
        <f>IF(ISBLANK(C185),INDEX(NGT_TO!$AP$513:$AZ$513,MATCH(YEAR(EOMONTH(A185,15)),NGT_TO!$AP$512:$AZ$512,0))/100,"-")</f>
        <v>-</v>
      </c>
      <c r="E185" s="61">
        <f t="shared" si="5"/>
        <v>99.6</v>
      </c>
      <c r="F185" s="61">
        <f t="shared" si="4"/>
        <v>256</v>
      </c>
    </row>
    <row r="186" spans="1:6">
      <c r="A186" s="68">
        <v>41852</v>
      </c>
      <c r="B186" s="42">
        <v>257</v>
      </c>
      <c r="C186" s="37">
        <v>99.9</v>
      </c>
      <c r="D186" s="62" t="str">
        <f>IF(ISBLANK(C186),INDEX(NGT_TO!$AP$513:$AZ$513,MATCH(YEAR(EOMONTH(A186,15)),NGT_TO!$AP$512:$AZ$512,0))/100,"-")</f>
        <v>-</v>
      </c>
      <c r="E186" s="61">
        <f t="shared" si="5"/>
        <v>99.9</v>
      </c>
      <c r="F186" s="61">
        <f t="shared" si="4"/>
        <v>257</v>
      </c>
    </row>
    <row r="187" spans="1:6">
      <c r="A187" s="68">
        <v>41883</v>
      </c>
      <c r="B187" s="42">
        <v>257.60000000000002</v>
      </c>
      <c r="C187" s="37">
        <v>100</v>
      </c>
      <c r="D187" s="62" t="str">
        <f>IF(ISBLANK(C187),INDEX(NGT_TO!$AP$513:$AZ$513,MATCH(YEAR(EOMONTH(A187,15)),NGT_TO!$AP$512:$AZ$512,0))/100,"-")</f>
        <v>-</v>
      </c>
      <c r="E187" s="61">
        <f t="shared" si="5"/>
        <v>100</v>
      </c>
      <c r="F187" s="61">
        <f t="shared" si="4"/>
        <v>257.60000000000002</v>
      </c>
    </row>
    <row r="188" spans="1:6">
      <c r="A188" s="68">
        <v>41913</v>
      </c>
      <c r="B188" s="42">
        <v>257.7</v>
      </c>
      <c r="C188" s="37">
        <v>100.1</v>
      </c>
      <c r="D188" s="62" t="str">
        <f>IF(ISBLANK(C188),INDEX(NGT_TO!$AP$513:$AZ$513,MATCH(YEAR(EOMONTH(A188,15)),NGT_TO!$AP$512:$AZ$512,0))/100,"-")</f>
        <v>-</v>
      </c>
      <c r="E188" s="61">
        <f t="shared" si="5"/>
        <v>100.1</v>
      </c>
      <c r="F188" s="61">
        <f t="shared" si="4"/>
        <v>257.7</v>
      </c>
    </row>
    <row r="189" spans="1:6">
      <c r="A189" s="68">
        <v>41944</v>
      </c>
      <c r="B189" s="42">
        <v>257.10000000000002</v>
      </c>
      <c r="C189" s="37">
        <v>99.9</v>
      </c>
      <c r="D189" s="62" t="str">
        <f>IF(ISBLANK(C189),INDEX(NGT_TO!$AP$513:$AZ$513,MATCH(YEAR(EOMONTH(A189,15)),NGT_TO!$AP$512:$AZ$512,0))/100,"-")</f>
        <v>-</v>
      </c>
      <c r="E189" s="61">
        <f t="shared" si="5"/>
        <v>99.9</v>
      </c>
      <c r="F189" s="61">
        <f t="shared" si="4"/>
        <v>257.10000000000002</v>
      </c>
    </row>
    <row r="190" spans="1:6">
      <c r="A190" s="68">
        <v>41974</v>
      </c>
      <c r="B190" s="42">
        <v>257.5</v>
      </c>
      <c r="C190" s="37">
        <v>99.9</v>
      </c>
      <c r="D190" s="62" t="str">
        <f>IF(ISBLANK(C190),INDEX(NGT_TO!$AP$513:$AZ$513,MATCH(YEAR(EOMONTH(A190,15)),NGT_TO!$AP$512:$AZ$512,0))/100,"-")</f>
        <v>-</v>
      </c>
      <c r="E190" s="61">
        <f t="shared" si="5"/>
        <v>99.9</v>
      </c>
      <c r="F190" s="61">
        <f t="shared" si="4"/>
        <v>257.5</v>
      </c>
    </row>
    <row r="191" spans="1:6">
      <c r="A191" s="68">
        <v>42005</v>
      </c>
      <c r="B191" s="42">
        <v>255.4</v>
      </c>
      <c r="C191" s="37">
        <v>99.2</v>
      </c>
      <c r="D191" s="62" t="str">
        <f>IF(ISBLANK(C191),INDEX(NGT_TO!$AP$513:$AZ$513,MATCH(YEAR(EOMONTH(A191,15)),NGT_TO!$AP$512:$AZ$512,0))/100,"-")</f>
        <v>-</v>
      </c>
      <c r="E191" s="61">
        <f t="shared" si="5"/>
        <v>99.2</v>
      </c>
      <c r="F191" s="61">
        <f t="shared" si="4"/>
        <v>255.4</v>
      </c>
    </row>
    <row r="192" spans="1:6">
      <c r="A192" s="68">
        <v>42036</v>
      </c>
      <c r="B192" s="42">
        <v>256.7</v>
      </c>
      <c r="C192" s="37">
        <v>99.5</v>
      </c>
      <c r="D192" s="62" t="str">
        <f>IF(ISBLANK(C192),INDEX(NGT_TO!$AP$513:$AZ$513,MATCH(YEAR(EOMONTH(A192,15)),NGT_TO!$AP$512:$AZ$512,0))/100,"-")</f>
        <v>-</v>
      </c>
      <c r="E192" s="61">
        <f t="shared" si="5"/>
        <v>99.5</v>
      </c>
      <c r="F192" s="61">
        <f t="shared" si="4"/>
        <v>256.7</v>
      </c>
    </row>
    <row r="193" spans="1:6">
      <c r="A193" s="68">
        <v>42064</v>
      </c>
      <c r="B193" s="42">
        <v>257.10000000000002</v>
      </c>
      <c r="C193" s="37">
        <v>99.6</v>
      </c>
      <c r="D193" s="62" t="str">
        <f>IF(ISBLANK(C193),INDEX(NGT_TO!$AP$513:$AZ$513,MATCH(YEAR(EOMONTH(A193,15)),NGT_TO!$AP$512:$AZ$512,0))/100,"-")</f>
        <v>-</v>
      </c>
      <c r="E193" s="61">
        <f t="shared" si="5"/>
        <v>99.6</v>
      </c>
      <c r="F193" s="61">
        <f t="shared" si="4"/>
        <v>257.10000000000002</v>
      </c>
    </row>
    <row r="194" spans="1:6">
      <c r="A194" s="68">
        <v>42095</v>
      </c>
      <c r="B194" s="42">
        <v>258</v>
      </c>
      <c r="C194" s="37">
        <v>99.9</v>
      </c>
      <c r="D194" s="62" t="str">
        <f>IF(ISBLANK(C194),INDEX(NGT_TO!$AP$513:$AZ$513,MATCH(YEAR(EOMONTH(A194,15)),NGT_TO!$AP$512:$AZ$512,0))/100,"-")</f>
        <v>-</v>
      </c>
      <c r="E194" s="61">
        <f t="shared" si="5"/>
        <v>99.9</v>
      </c>
      <c r="F194" s="61">
        <f t="shared" ref="F194:F257" si="6">IF(ISBLANK(B194),F193*(E194/E193),B194)</f>
        <v>258</v>
      </c>
    </row>
    <row r="195" spans="1:6">
      <c r="A195" s="68">
        <v>42125</v>
      </c>
      <c r="B195" s="42">
        <v>258.5</v>
      </c>
      <c r="C195" s="37">
        <v>100.1</v>
      </c>
      <c r="D195" s="62" t="str">
        <f>IF(ISBLANK(C195),INDEX(NGT_TO!$AP$513:$AZ$513,MATCH(YEAR(EOMONTH(A195,15)),NGT_TO!$AP$512:$AZ$512,0))/100,"-")</f>
        <v>-</v>
      </c>
      <c r="E195" s="61">
        <f t="shared" ref="E195:E258" si="7">IF(ISBLANK(C195),E194*((1+D195)^(1/12)),C195)</f>
        <v>100.1</v>
      </c>
      <c r="F195" s="61">
        <f t="shared" si="6"/>
        <v>258.5</v>
      </c>
    </row>
    <row r="196" spans="1:6">
      <c r="A196" s="68">
        <v>42156</v>
      </c>
      <c r="B196" s="42">
        <v>258.89999999999998</v>
      </c>
      <c r="C196" s="37">
        <v>100.1</v>
      </c>
      <c r="D196" s="62" t="str">
        <f>IF(ISBLANK(C196),INDEX(NGT_TO!$AP$513:$AZ$513,MATCH(YEAR(EOMONTH(A196,15)),NGT_TO!$AP$512:$AZ$512,0))/100,"-")</f>
        <v>-</v>
      </c>
      <c r="E196" s="61">
        <f t="shared" si="7"/>
        <v>100.1</v>
      </c>
      <c r="F196" s="61">
        <f t="shared" si="6"/>
        <v>258.89999999999998</v>
      </c>
    </row>
    <row r="197" spans="1:6">
      <c r="A197" s="68">
        <v>42186</v>
      </c>
      <c r="B197" s="42">
        <v>258.60000000000002</v>
      </c>
      <c r="C197" s="37">
        <v>100</v>
      </c>
      <c r="D197" s="62" t="str">
        <f>IF(ISBLANK(C197),INDEX(NGT_TO!$AP$513:$AZ$513,MATCH(YEAR(EOMONTH(A197,15)),NGT_TO!$AP$512:$AZ$512,0))/100,"-")</f>
        <v>-</v>
      </c>
      <c r="E197" s="61">
        <f t="shared" si="7"/>
        <v>100</v>
      </c>
      <c r="F197" s="61">
        <f t="shared" si="6"/>
        <v>258.60000000000002</v>
      </c>
    </row>
    <row r="198" spans="1:6">
      <c r="A198" s="68">
        <v>42217</v>
      </c>
      <c r="B198" s="42">
        <v>259.8</v>
      </c>
      <c r="C198" s="37">
        <v>100.3</v>
      </c>
      <c r="D198" s="62" t="str">
        <f>IF(ISBLANK(C198),INDEX(NGT_TO!$AP$513:$AZ$513,MATCH(YEAR(EOMONTH(A198,15)),NGT_TO!$AP$512:$AZ$512,0))/100,"-")</f>
        <v>-</v>
      </c>
      <c r="E198" s="61">
        <f t="shared" si="7"/>
        <v>100.3</v>
      </c>
      <c r="F198" s="61">
        <f t="shared" si="6"/>
        <v>259.8</v>
      </c>
    </row>
    <row r="199" spans="1:6">
      <c r="A199" s="68">
        <v>42248</v>
      </c>
      <c r="B199" s="42">
        <v>259.60000000000002</v>
      </c>
      <c r="C199" s="37">
        <v>100.2</v>
      </c>
      <c r="D199" s="62" t="str">
        <f>IF(ISBLANK(C199),INDEX(NGT_TO!$AP$513:$AZ$513,MATCH(YEAR(EOMONTH(A199,15)),NGT_TO!$AP$512:$AZ$512,0))/100,"-")</f>
        <v>-</v>
      </c>
      <c r="E199" s="61">
        <f t="shared" si="7"/>
        <v>100.2</v>
      </c>
      <c r="F199" s="61">
        <f t="shared" si="6"/>
        <v>259.60000000000002</v>
      </c>
    </row>
    <row r="200" spans="1:6">
      <c r="A200" s="68">
        <v>42278</v>
      </c>
      <c r="B200" s="42">
        <v>259.5</v>
      </c>
      <c r="C200" s="37">
        <v>100.3</v>
      </c>
      <c r="D200" s="62" t="str">
        <f>IF(ISBLANK(C200),INDEX(NGT_TO!$AP$513:$AZ$513,MATCH(YEAR(EOMONTH(A200,15)),NGT_TO!$AP$512:$AZ$512,0))/100,"-")</f>
        <v>-</v>
      </c>
      <c r="E200" s="61">
        <f t="shared" si="7"/>
        <v>100.3</v>
      </c>
      <c r="F200" s="61">
        <f t="shared" si="6"/>
        <v>259.5</v>
      </c>
    </row>
    <row r="201" spans="1:6">
      <c r="A201" s="68">
        <v>42309</v>
      </c>
      <c r="B201" s="42">
        <v>259.8</v>
      </c>
      <c r="C201" s="37">
        <v>100.3</v>
      </c>
      <c r="D201" s="62" t="str">
        <f>IF(ISBLANK(C201),INDEX(NGT_TO!$AP$513:$AZ$513,MATCH(YEAR(EOMONTH(A201,15)),NGT_TO!$AP$512:$AZ$512,0))/100,"-")</f>
        <v>-</v>
      </c>
      <c r="E201" s="61">
        <f t="shared" si="7"/>
        <v>100.3</v>
      </c>
      <c r="F201" s="61">
        <f t="shared" si="6"/>
        <v>259.8</v>
      </c>
    </row>
    <row r="202" spans="1:6">
      <c r="A202" s="68">
        <v>42339</v>
      </c>
      <c r="B202" s="42">
        <v>260.60000000000002</v>
      </c>
      <c r="C202" s="37">
        <v>100.4</v>
      </c>
      <c r="D202" s="62" t="str">
        <f>IF(ISBLANK(C202),INDEX(NGT_TO!$AP$513:$AZ$513,MATCH(YEAR(EOMONTH(A202,15)),NGT_TO!$AP$512:$AZ$512,0))/100,"-")</f>
        <v>-</v>
      </c>
      <c r="E202" s="61">
        <f t="shared" si="7"/>
        <v>100.4</v>
      </c>
      <c r="F202" s="61">
        <f t="shared" si="6"/>
        <v>260.60000000000002</v>
      </c>
    </row>
    <row r="203" spans="1:6">
      <c r="A203" s="68">
        <v>42370</v>
      </c>
      <c r="B203" s="42">
        <v>258.8</v>
      </c>
      <c r="C203" s="37">
        <v>99.9</v>
      </c>
      <c r="D203" s="62" t="str">
        <f>IF(ISBLANK(C203),INDEX(NGT_TO!$AP$513:$AZ$513,MATCH(YEAR(EOMONTH(A203,15)),NGT_TO!$AP$512:$AZ$512,0))/100,"-")</f>
        <v>-</v>
      </c>
      <c r="E203" s="61">
        <f t="shared" si="7"/>
        <v>99.9</v>
      </c>
      <c r="F203" s="61">
        <f t="shared" si="6"/>
        <v>258.8</v>
      </c>
    </row>
    <row r="204" spans="1:6">
      <c r="A204" s="68">
        <v>42401</v>
      </c>
      <c r="B204" s="42">
        <v>260</v>
      </c>
      <c r="C204" s="37">
        <v>100.1</v>
      </c>
      <c r="D204" s="62" t="str">
        <f>IF(ISBLANK(C204),INDEX(NGT_TO!$AP$513:$AZ$513,MATCH(YEAR(EOMONTH(A204,15)),NGT_TO!$AP$512:$AZ$512,0))/100,"-")</f>
        <v>-</v>
      </c>
      <c r="E204" s="61">
        <f t="shared" si="7"/>
        <v>100.1</v>
      </c>
      <c r="F204" s="61">
        <f t="shared" si="6"/>
        <v>260</v>
      </c>
    </row>
    <row r="205" spans="1:6">
      <c r="A205" s="68">
        <v>42430</v>
      </c>
      <c r="B205" s="42">
        <v>261.10000000000002</v>
      </c>
      <c r="C205" s="37">
        <v>100.4</v>
      </c>
      <c r="D205" s="62" t="str">
        <f>IF(ISBLANK(C205),INDEX(NGT_TO!$AP$513:$AZ$513,MATCH(YEAR(EOMONTH(A205,15)),NGT_TO!$AP$512:$AZ$512,0))/100,"-")</f>
        <v>-</v>
      </c>
      <c r="E205" s="61">
        <f t="shared" si="7"/>
        <v>100.4</v>
      </c>
      <c r="F205" s="61">
        <f t="shared" si="6"/>
        <v>261.10000000000002</v>
      </c>
    </row>
    <row r="206" spans="1:6">
      <c r="A206" s="68">
        <v>42461</v>
      </c>
      <c r="B206" s="42">
        <v>261.39999999999998</v>
      </c>
      <c r="C206" s="37">
        <v>100.6</v>
      </c>
      <c r="D206" s="62" t="str">
        <f>IF(ISBLANK(C206),INDEX(NGT_TO!$AP$513:$AZ$513,MATCH(YEAR(EOMONTH(A206,15)),NGT_TO!$AP$512:$AZ$512,0))/100,"-")</f>
        <v>-</v>
      </c>
      <c r="E206" s="61">
        <f t="shared" si="7"/>
        <v>100.6</v>
      </c>
      <c r="F206" s="61">
        <f t="shared" si="6"/>
        <v>261.39999999999998</v>
      </c>
    </row>
    <row r="207" spans="1:6">
      <c r="A207" s="68">
        <v>42491</v>
      </c>
      <c r="B207" s="42">
        <v>262.10000000000002</v>
      </c>
      <c r="C207" s="37">
        <v>100.8</v>
      </c>
      <c r="D207" s="62" t="str">
        <f>IF(ISBLANK(C207),INDEX(NGT_TO!$AP$513:$AZ$513,MATCH(YEAR(EOMONTH(A207,15)),NGT_TO!$AP$512:$AZ$512,0))/100,"-")</f>
        <v>-</v>
      </c>
      <c r="E207" s="61">
        <f t="shared" si="7"/>
        <v>100.8</v>
      </c>
      <c r="F207" s="61">
        <f t="shared" si="6"/>
        <v>262.10000000000002</v>
      </c>
    </row>
    <row r="208" spans="1:6">
      <c r="A208" s="68">
        <v>42522</v>
      </c>
      <c r="B208" s="42">
        <v>263.10000000000002</v>
      </c>
      <c r="C208" s="37">
        <v>101</v>
      </c>
      <c r="D208" s="62" t="str">
        <f>IF(ISBLANK(C208),INDEX(NGT_TO!$AP$513:$AZ$513,MATCH(YEAR(EOMONTH(A208,15)),NGT_TO!$AP$512:$AZ$512,0))/100,"-")</f>
        <v>-</v>
      </c>
      <c r="E208" s="61">
        <f t="shared" si="7"/>
        <v>101</v>
      </c>
      <c r="F208" s="61">
        <f t="shared" si="6"/>
        <v>263.10000000000002</v>
      </c>
    </row>
    <row r="209" spans="1:6">
      <c r="A209" s="68">
        <v>42552</v>
      </c>
      <c r="B209" s="42">
        <v>263.39999999999998</v>
      </c>
      <c r="C209" s="37">
        <v>100.9</v>
      </c>
      <c r="D209" s="62" t="str">
        <f>IF(ISBLANK(C209),INDEX(NGT_TO!$AP$513:$AZ$513,MATCH(YEAR(EOMONTH(A209,15)),NGT_TO!$AP$512:$AZ$512,0))/100,"-")</f>
        <v>-</v>
      </c>
      <c r="E209" s="61">
        <f t="shared" si="7"/>
        <v>100.9</v>
      </c>
      <c r="F209" s="61">
        <f t="shared" si="6"/>
        <v>263.39999999999998</v>
      </c>
    </row>
    <row r="210" spans="1:6">
      <c r="A210" s="68">
        <v>42583</v>
      </c>
      <c r="B210" s="42">
        <v>264.39999999999998</v>
      </c>
      <c r="C210" s="37">
        <v>101.2</v>
      </c>
      <c r="D210" s="62" t="str">
        <f>IF(ISBLANK(C210),INDEX(NGT_TO!$AP$513:$AZ$513,MATCH(YEAR(EOMONTH(A210,15)),NGT_TO!$AP$512:$AZ$512,0))/100,"-")</f>
        <v>-</v>
      </c>
      <c r="E210" s="61">
        <f t="shared" si="7"/>
        <v>101.2</v>
      </c>
      <c r="F210" s="61">
        <f t="shared" si="6"/>
        <v>264.39999999999998</v>
      </c>
    </row>
    <row r="211" spans="1:6">
      <c r="A211" s="68">
        <v>42614</v>
      </c>
      <c r="B211" s="42">
        <v>264.89999999999998</v>
      </c>
      <c r="C211" s="37">
        <v>101.5</v>
      </c>
      <c r="D211" s="62" t="str">
        <f>IF(ISBLANK(C211),INDEX(NGT_TO!$AP$513:$AZ$513,MATCH(YEAR(EOMONTH(A211,15)),NGT_TO!$AP$512:$AZ$512,0))/100,"-")</f>
        <v>-</v>
      </c>
      <c r="E211" s="61">
        <f t="shared" si="7"/>
        <v>101.5</v>
      </c>
      <c r="F211" s="61">
        <f t="shared" si="6"/>
        <v>264.89999999999998</v>
      </c>
    </row>
    <row r="212" spans="1:6">
      <c r="A212" s="68">
        <v>42644</v>
      </c>
      <c r="B212" s="42">
        <v>264.8</v>
      </c>
      <c r="C212" s="37">
        <v>101.6</v>
      </c>
      <c r="D212" s="62" t="str">
        <f>IF(ISBLANK(C212),INDEX(NGT_TO!$AP$513:$AZ$513,MATCH(YEAR(EOMONTH(A212,15)),NGT_TO!$AP$512:$AZ$512,0))/100,"-")</f>
        <v>-</v>
      </c>
      <c r="E212" s="61">
        <f t="shared" si="7"/>
        <v>101.6</v>
      </c>
      <c r="F212" s="61">
        <f t="shared" si="6"/>
        <v>264.8</v>
      </c>
    </row>
    <row r="213" spans="1:6">
      <c r="A213" s="68">
        <v>42675</v>
      </c>
      <c r="B213" s="42">
        <v>265.5</v>
      </c>
      <c r="C213" s="37">
        <v>101.8</v>
      </c>
      <c r="D213" s="62" t="str">
        <f>IF(ISBLANK(C213),INDEX(NGT_TO!$AP$513:$AZ$513,MATCH(YEAR(EOMONTH(A213,15)),NGT_TO!$AP$512:$AZ$512,0))/100,"-")</f>
        <v>-</v>
      </c>
      <c r="E213" s="61">
        <f t="shared" si="7"/>
        <v>101.8</v>
      </c>
      <c r="F213" s="61">
        <f t="shared" si="6"/>
        <v>265.5</v>
      </c>
    </row>
    <row r="214" spans="1:6">
      <c r="A214" s="68">
        <v>42705</v>
      </c>
      <c r="B214" s="42">
        <v>267.10000000000002</v>
      </c>
      <c r="C214" s="37">
        <v>102.2</v>
      </c>
      <c r="D214" s="62" t="str">
        <f>IF(ISBLANK(C214),INDEX(NGT_TO!$AP$513:$AZ$513,MATCH(YEAR(EOMONTH(A214,15)),NGT_TO!$AP$512:$AZ$512,0))/100,"-")</f>
        <v>-</v>
      </c>
      <c r="E214" s="61">
        <f t="shared" si="7"/>
        <v>102.2</v>
      </c>
      <c r="F214" s="61">
        <f t="shared" si="6"/>
        <v>267.10000000000002</v>
      </c>
    </row>
    <row r="215" spans="1:6">
      <c r="A215" s="68">
        <v>42736</v>
      </c>
      <c r="B215" s="42">
        <v>265.5</v>
      </c>
      <c r="C215" s="37">
        <v>101.8</v>
      </c>
      <c r="D215" s="62" t="str">
        <f>IF(ISBLANK(C215),INDEX(NGT_TO!$AP$513:$AZ$513,MATCH(YEAR(EOMONTH(A215,15)),NGT_TO!$AP$512:$AZ$512,0))/100,"-")</f>
        <v>-</v>
      </c>
      <c r="E215" s="61">
        <f t="shared" si="7"/>
        <v>101.8</v>
      </c>
      <c r="F215" s="61">
        <f t="shared" si="6"/>
        <v>265.5</v>
      </c>
    </row>
    <row r="216" spans="1:6">
      <c r="A216" s="68">
        <v>42767</v>
      </c>
      <c r="B216" s="42">
        <v>268.39999999999998</v>
      </c>
      <c r="C216" s="37">
        <v>102.4</v>
      </c>
      <c r="D216" s="62" t="str">
        <f>IF(ISBLANK(C216),INDEX(NGT_TO!$AP$513:$AZ$513,MATCH(YEAR(EOMONTH(A216,15)),NGT_TO!$AP$512:$AZ$512,0))/100,"-")</f>
        <v>-</v>
      </c>
      <c r="E216" s="61">
        <f t="shared" si="7"/>
        <v>102.4</v>
      </c>
      <c r="F216" s="61">
        <f t="shared" si="6"/>
        <v>268.39999999999998</v>
      </c>
    </row>
    <row r="217" spans="1:6">
      <c r="A217" s="68">
        <v>42795</v>
      </c>
      <c r="B217" s="42">
        <v>269.3</v>
      </c>
      <c r="C217" s="37">
        <v>102.7</v>
      </c>
      <c r="D217" s="62" t="str">
        <f>IF(ISBLANK(C217),INDEX(NGT_TO!$AP$513:$AZ$513,MATCH(YEAR(EOMONTH(A217,15)),NGT_TO!$AP$512:$AZ$512,0))/100,"-")</f>
        <v>-</v>
      </c>
      <c r="E217" s="61">
        <f t="shared" si="7"/>
        <v>102.7</v>
      </c>
      <c r="F217" s="61">
        <f t="shared" si="6"/>
        <v>269.3</v>
      </c>
    </row>
    <row r="218" spans="1:6">
      <c r="A218" s="68">
        <v>42826</v>
      </c>
      <c r="B218" s="42">
        <v>270.60000000000002</v>
      </c>
      <c r="C218" s="37">
        <v>103.2</v>
      </c>
      <c r="D218" s="62" t="str">
        <f>IF(ISBLANK(C218),INDEX(NGT_TO!$AP$513:$AZ$513,MATCH(YEAR(EOMONTH(A218,15)),NGT_TO!$AP$512:$AZ$512,0))/100,"-")</f>
        <v>-</v>
      </c>
      <c r="E218" s="61">
        <f t="shared" si="7"/>
        <v>103.2</v>
      </c>
      <c r="F218" s="61">
        <f t="shared" si="6"/>
        <v>270.60000000000002</v>
      </c>
    </row>
    <row r="219" spans="1:6">
      <c r="A219" s="68">
        <v>42856</v>
      </c>
      <c r="B219" s="42">
        <v>271.7</v>
      </c>
      <c r="C219" s="37">
        <v>103.5</v>
      </c>
      <c r="D219" s="62" t="str">
        <f>IF(ISBLANK(C219),INDEX(NGT_TO!$AP$513:$AZ$513,MATCH(YEAR(EOMONTH(A219,15)),NGT_TO!$AP$512:$AZ$512,0))/100,"-")</f>
        <v>-</v>
      </c>
      <c r="E219" s="61">
        <f t="shared" si="7"/>
        <v>103.5</v>
      </c>
      <c r="F219" s="61">
        <f t="shared" si="6"/>
        <v>271.7</v>
      </c>
    </row>
    <row r="220" spans="1:6">
      <c r="A220" s="68">
        <v>42887</v>
      </c>
      <c r="B220" s="42">
        <v>272.3</v>
      </c>
      <c r="C220" s="37">
        <v>103.5</v>
      </c>
      <c r="D220" s="62" t="str">
        <f>IF(ISBLANK(C220),INDEX(NGT_TO!$AP$513:$AZ$513,MATCH(YEAR(EOMONTH(A220,15)),NGT_TO!$AP$512:$AZ$512,0))/100,"-")</f>
        <v>-</v>
      </c>
      <c r="E220" s="61">
        <f t="shared" si="7"/>
        <v>103.5</v>
      </c>
      <c r="F220" s="61">
        <f t="shared" si="6"/>
        <v>272.3</v>
      </c>
    </row>
    <row r="221" spans="1:6">
      <c r="A221" s="68">
        <v>42917</v>
      </c>
      <c r="B221" s="42">
        <v>272.89999999999998</v>
      </c>
      <c r="C221" s="37">
        <v>103.5</v>
      </c>
      <c r="D221" s="62" t="str">
        <f>IF(ISBLANK(C221),INDEX(NGT_TO!$AP$513:$AZ$513,MATCH(YEAR(EOMONTH(A221,15)),NGT_TO!$AP$512:$AZ$512,0))/100,"-")</f>
        <v>-</v>
      </c>
      <c r="E221" s="61">
        <f t="shared" si="7"/>
        <v>103.5</v>
      </c>
      <c r="F221" s="61">
        <f t="shared" si="6"/>
        <v>272.89999999999998</v>
      </c>
    </row>
    <row r="222" spans="1:6">
      <c r="A222" s="68">
        <v>42948</v>
      </c>
      <c r="B222" s="42">
        <v>274.7</v>
      </c>
      <c r="C222" s="37">
        <v>104</v>
      </c>
      <c r="D222" s="62" t="str">
        <f>IF(ISBLANK(C222),INDEX(NGT_TO!$AP$513:$AZ$513,MATCH(YEAR(EOMONTH(A222,15)),NGT_TO!$AP$512:$AZ$512,0))/100,"-")</f>
        <v>-</v>
      </c>
      <c r="E222" s="61">
        <f t="shared" si="7"/>
        <v>104</v>
      </c>
      <c r="F222" s="61">
        <f t="shared" si="6"/>
        <v>274.7</v>
      </c>
    </row>
    <row r="223" spans="1:6">
      <c r="A223" s="68">
        <v>42979</v>
      </c>
      <c r="B223" s="42">
        <v>275.10000000000002</v>
      </c>
      <c r="C223" s="37">
        <v>104.3</v>
      </c>
      <c r="D223" s="62" t="str">
        <f>IF(ISBLANK(C223),INDEX(NGT_TO!$AP$513:$AZ$513,MATCH(YEAR(EOMONTH(A223,15)),NGT_TO!$AP$512:$AZ$512,0))/100,"-")</f>
        <v>-</v>
      </c>
      <c r="E223" s="61">
        <f t="shared" si="7"/>
        <v>104.3</v>
      </c>
      <c r="F223" s="61">
        <f t="shared" si="6"/>
        <v>275.10000000000002</v>
      </c>
    </row>
    <row r="224" spans="1:6">
      <c r="A224" s="68">
        <v>43009</v>
      </c>
      <c r="B224" s="42">
        <v>275.3</v>
      </c>
      <c r="C224" s="37">
        <v>104.4</v>
      </c>
      <c r="D224" s="62" t="str">
        <f>IF(ISBLANK(C224),INDEX(NGT_TO!$AP$513:$AZ$513,MATCH(YEAR(EOMONTH(A224,15)),NGT_TO!$AP$512:$AZ$512,0))/100,"-")</f>
        <v>-</v>
      </c>
      <c r="E224" s="61">
        <f t="shared" si="7"/>
        <v>104.4</v>
      </c>
      <c r="F224" s="61">
        <f t="shared" si="6"/>
        <v>275.3</v>
      </c>
    </row>
    <row r="225" spans="1:6">
      <c r="A225" s="68">
        <v>43040</v>
      </c>
      <c r="B225" s="42">
        <v>275.8</v>
      </c>
      <c r="C225" s="37">
        <v>104.7</v>
      </c>
      <c r="D225" s="62" t="str">
        <f>IF(ISBLANK(C225),INDEX(NGT_TO!$AP$513:$AZ$513,MATCH(YEAR(EOMONTH(A225,15)),NGT_TO!$AP$512:$AZ$512,0))/100,"-")</f>
        <v>-</v>
      </c>
      <c r="E225" s="61">
        <f t="shared" si="7"/>
        <v>104.7</v>
      </c>
      <c r="F225" s="61">
        <f t="shared" si="6"/>
        <v>275.8</v>
      </c>
    </row>
    <row r="226" spans="1:6">
      <c r="A226" s="68">
        <v>43070</v>
      </c>
      <c r="B226" s="42">
        <v>278.10000000000002</v>
      </c>
      <c r="C226" s="37">
        <v>105</v>
      </c>
      <c r="D226" s="62" t="str">
        <f>IF(ISBLANK(C226),INDEX(NGT_TO!$AP$513:$AZ$513,MATCH(YEAR(EOMONTH(A226,15)),NGT_TO!$AP$512:$AZ$512,0))/100,"-")</f>
        <v>-</v>
      </c>
      <c r="E226" s="61">
        <f t="shared" si="7"/>
        <v>105</v>
      </c>
      <c r="F226" s="61">
        <f t="shared" si="6"/>
        <v>278.10000000000002</v>
      </c>
    </row>
    <row r="227" spans="1:6">
      <c r="A227" s="68">
        <v>43101</v>
      </c>
      <c r="B227" s="42">
        <v>276</v>
      </c>
      <c r="C227" s="37">
        <v>104.5</v>
      </c>
      <c r="D227" s="62" t="str">
        <f>IF(ISBLANK(C227),INDEX(NGT_TO!$AP$513:$AZ$513,MATCH(YEAR(EOMONTH(A227,15)),NGT_TO!$AP$512:$AZ$512,0))/100,"-")</f>
        <v>-</v>
      </c>
      <c r="E227" s="61">
        <f t="shared" si="7"/>
        <v>104.5</v>
      </c>
      <c r="F227" s="61">
        <f t="shared" si="6"/>
        <v>276</v>
      </c>
    </row>
    <row r="228" spans="1:6">
      <c r="A228" s="68">
        <v>43132</v>
      </c>
      <c r="B228" s="42">
        <v>278.10000000000002</v>
      </c>
      <c r="C228" s="37">
        <v>104.9</v>
      </c>
      <c r="D228" s="62" t="str">
        <f>IF(ISBLANK(C228),INDEX(NGT_TO!$AP$513:$AZ$513,MATCH(YEAR(EOMONTH(A228,15)),NGT_TO!$AP$512:$AZ$512,0))/100,"-")</f>
        <v>-</v>
      </c>
      <c r="E228" s="61">
        <f t="shared" si="7"/>
        <v>104.9</v>
      </c>
      <c r="F228" s="61">
        <f t="shared" si="6"/>
        <v>278.10000000000002</v>
      </c>
    </row>
    <row r="229" spans="1:6">
      <c r="A229" s="68">
        <v>43160</v>
      </c>
      <c r="B229" s="42">
        <v>278.3</v>
      </c>
      <c r="C229" s="37">
        <v>105.1</v>
      </c>
      <c r="D229" s="62" t="str">
        <f>IF(ISBLANK(C229),INDEX(NGT_TO!$AP$513:$AZ$513,MATCH(YEAR(EOMONTH(A229,15)),NGT_TO!$AP$512:$AZ$512,0))/100,"-")</f>
        <v>-</v>
      </c>
      <c r="E229" s="61">
        <f t="shared" si="7"/>
        <v>105.1</v>
      </c>
      <c r="F229" s="61">
        <f t="shared" si="6"/>
        <v>278.3</v>
      </c>
    </row>
    <row r="230" spans="1:6">
      <c r="A230" s="68">
        <v>43191</v>
      </c>
      <c r="B230" s="42">
        <v>279.7</v>
      </c>
      <c r="C230" s="37">
        <v>105.5</v>
      </c>
      <c r="D230" s="62" t="str">
        <f>IF(ISBLANK(C230),INDEX(NGT_TO!$AP$513:$AZ$513,MATCH(YEAR(EOMONTH(A230,15)),NGT_TO!$AP$512:$AZ$512,0))/100,"-")</f>
        <v>-</v>
      </c>
      <c r="E230" s="61">
        <f t="shared" si="7"/>
        <v>105.5</v>
      </c>
      <c r="F230" s="61">
        <f t="shared" si="6"/>
        <v>279.7</v>
      </c>
    </row>
    <row r="231" spans="1:6">
      <c r="A231" s="68">
        <v>43221</v>
      </c>
      <c r="B231" s="42">
        <v>280.7</v>
      </c>
      <c r="C231" s="37">
        <v>105.9</v>
      </c>
      <c r="D231" s="62" t="str">
        <f>IF(ISBLANK(C231),INDEX(NGT_TO!$AP$513:$AZ$513,MATCH(YEAR(EOMONTH(A231,15)),NGT_TO!$AP$512:$AZ$512,0))/100,"-")</f>
        <v>-</v>
      </c>
      <c r="E231" s="61">
        <f t="shared" si="7"/>
        <v>105.9</v>
      </c>
      <c r="F231" s="61">
        <f t="shared" si="6"/>
        <v>280.7</v>
      </c>
    </row>
    <row r="232" spans="1:6">
      <c r="A232" s="68">
        <v>43252</v>
      </c>
      <c r="B232" s="42">
        <v>281.5</v>
      </c>
      <c r="C232" s="37">
        <v>105.9</v>
      </c>
      <c r="D232" s="62" t="str">
        <f>IF(ISBLANK(C232),INDEX(NGT_TO!$AP$513:$AZ$513,MATCH(YEAR(EOMONTH(A232,15)),NGT_TO!$AP$512:$AZ$512,0))/100,"-")</f>
        <v>-</v>
      </c>
      <c r="E232" s="61">
        <f t="shared" si="7"/>
        <v>105.9</v>
      </c>
      <c r="F232" s="61">
        <f t="shared" si="6"/>
        <v>281.5</v>
      </c>
    </row>
    <row r="233" spans="1:6">
      <c r="A233" s="68">
        <v>43282</v>
      </c>
      <c r="B233" s="42">
        <v>281.7</v>
      </c>
      <c r="C233" s="37">
        <v>105.9</v>
      </c>
      <c r="D233" s="62" t="str">
        <f>IF(ISBLANK(C233),INDEX(NGT_TO!$AP$513:$AZ$513,MATCH(YEAR(EOMONTH(A233,15)),NGT_TO!$AP$512:$AZ$512,0))/100,"-")</f>
        <v>-</v>
      </c>
      <c r="E233" s="61">
        <f t="shared" si="7"/>
        <v>105.9</v>
      </c>
      <c r="F233" s="61">
        <f t="shared" si="6"/>
        <v>281.7</v>
      </c>
    </row>
    <row r="234" spans="1:6">
      <c r="A234" s="68">
        <v>43313</v>
      </c>
      <c r="B234" s="42">
        <v>284.2</v>
      </c>
      <c r="C234" s="37">
        <v>106.5</v>
      </c>
      <c r="D234" s="62" t="str">
        <f>IF(ISBLANK(C234),INDEX(NGT_TO!$AP$513:$AZ$513,MATCH(YEAR(EOMONTH(A234,15)),NGT_TO!$AP$512:$AZ$512,0))/100,"-")</f>
        <v>-</v>
      </c>
      <c r="E234" s="61">
        <f t="shared" si="7"/>
        <v>106.5</v>
      </c>
      <c r="F234" s="61">
        <f t="shared" si="6"/>
        <v>284.2</v>
      </c>
    </row>
    <row r="235" spans="1:6">
      <c r="A235" s="68">
        <v>43344</v>
      </c>
      <c r="B235" s="42">
        <v>284.10000000000002</v>
      </c>
      <c r="C235" s="37">
        <v>106.6</v>
      </c>
      <c r="D235" s="62" t="str">
        <f>IF(ISBLANK(C235),INDEX(NGT_TO!$AP$513:$AZ$513,MATCH(YEAR(EOMONTH(A235,15)),NGT_TO!$AP$512:$AZ$512,0))/100,"-")</f>
        <v>-</v>
      </c>
      <c r="E235" s="61">
        <f t="shared" si="7"/>
        <v>106.6</v>
      </c>
      <c r="F235" s="61">
        <f t="shared" si="6"/>
        <v>284.10000000000002</v>
      </c>
    </row>
    <row r="236" spans="1:6">
      <c r="A236" s="68">
        <v>43374</v>
      </c>
      <c r="B236" s="42">
        <v>284.5</v>
      </c>
      <c r="C236" s="37">
        <v>106.7</v>
      </c>
      <c r="D236" s="62" t="str">
        <f>IF(ISBLANK(C236),INDEX(NGT_TO!$AP$513:$AZ$513,MATCH(YEAR(EOMONTH(A236,15)),NGT_TO!$AP$512:$AZ$512,0))/100,"-")</f>
        <v>-</v>
      </c>
      <c r="E236" s="61">
        <f t="shared" si="7"/>
        <v>106.7</v>
      </c>
      <c r="F236" s="61">
        <f t="shared" si="6"/>
        <v>284.5</v>
      </c>
    </row>
    <row r="237" spans="1:6">
      <c r="A237" s="68">
        <v>43405</v>
      </c>
      <c r="B237" s="42">
        <v>284.60000000000002</v>
      </c>
      <c r="C237" s="37">
        <v>106.9</v>
      </c>
      <c r="D237" s="62" t="str">
        <f>IF(ISBLANK(C237),INDEX(NGT_TO!$AP$513:$AZ$513,MATCH(YEAR(EOMONTH(A237,15)),NGT_TO!$AP$512:$AZ$512,0))/100,"-")</f>
        <v>-</v>
      </c>
      <c r="E237" s="61">
        <f t="shared" si="7"/>
        <v>106.9</v>
      </c>
      <c r="F237" s="61">
        <f t="shared" si="6"/>
        <v>284.60000000000002</v>
      </c>
    </row>
    <row r="238" spans="1:6">
      <c r="A238" s="68">
        <v>43435</v>
      </c>
      <c r="B238" s="42">
        <v>285.60000000000002</v>
      </c>
      <c r="C238" s="37">
        <v>107.1</v>
      </c>
      <c r="D238" s="62" t="str">
        <f>IF(ISBLANK(C238),INDEX(NGT_TO!$AP$513:$AZ$513,MATCH(YEAR(EOMONTH(A238,15)),NGT_TO!$AP$512:$AZ$512,0))/100,"-")</f>
        <v>-</v>
      </c>
      <c r="E238" s="61">
        <f t="shared" si="7"/>
        <v>107.1</v>
      </c>
      <c r="F238" s="61">
        <f t="shared" si="6"/>
        <v>285.60000000000002</v>
      </c>
    </row>
    <row r="239" spans="1:6">
      <c r="A239" s="68">
        <v>43466</v>
      </c>
      <c r="B239" s="42">
        <v>283</v>
      </c>
      <c r="C239" s="37">
        <v>106.4</v>
      </c>
      <c r="D239" s="62" t="str">
        <f>IF(ISBLANK(C239),INDEX(NGT_TO!$AP$513:$AZ$513,MATCH(YEAR(EOMONTH(A239,15)),NGT_TO!$AP$512:$AZ$512,0))/100,"-")</f>
        <v>-</v>
      </c>
      <c r="E239" s="61">
        <f t="shared" si="7"/>
        <v>106.4</v>
      </c>
      <c r="F239" s="61">
        <f t="shared" si="6"/>
        <v>283</v>
      </c>
    </row>
    <row r="240" spans="1:6">
      <c r="A240" s="68">
        <v>43497</v>
      </c>
      <c r="B240" s="42">
        <v>285</v>
      </c>
      <c r="C240" s="37">
        <v>106.8</v>
      </c>
      <c r="D240" s="62" t="str">
        <f>IF(ISBLANK(C240),INDEX(NGT_TO!$AP$513:$AZ$513,MATCH(YEAR(EOMONTH(A240,15)),NGT_TO!$AP$512:$AZ$512,0))/100,"-")</f>
        <v>-</v>
      </c>
      <c r="E240" s="61">
        <f t="shared" si="7"/>
        <v>106.8</v>
      </c>
      <c r="F240" s="61">
        <f t="shared" si="6"/>
        <v>285</v>
      </c>
    </row>
    <row r="241" spans="1:6">
      <c r="A241" s="68">
        <v>43525</v>
      </c>
      <c r="B241" s="42">
        <v>285.10000000000002</v>
      </c>
      <c r="C241" s="37">
        <v>107</v>
      </c>
      <c r="D241" s="62" t="str">
        <f>IF(ISBLANK(C241),INDEX(NGT_TO!$AP$513:$AZ$513,MATCH(YEAR(EOMONTH(A241,15)),NGT_TO!$AP$512:$AZ$512,0))/100,"-")</f>
        <v>-</v>
      </c>
      <c r="E241" s="61">
        <f t="shared" si="7"/>
        <v>107</v>
      </c>
      <c r="F241" s="61">
        <f t="shared" si="6"/>
        <v>285.10000000000002</v>
      </c>
    </row>
    <row r="242" spans="1:6">
      <c r="A242" s="68">
        <v>43556</v>
      </c>
      <c r="B242" s="42">
        <v>288.2</v>
      </c>
      <c r="C242" s="37">
        <v>107.6</v>
      </c>
      <c r="D242" s="62" t="str">
        <f>IF(ISBLANK(C242),INDEX(NGT_TO!$AP$513:$AZ$513,MATCH(YEAR(EOMONTH(A242,15)),NGT_TO!$AP$512:$AZ$512,0))/100,"-")</f>
        <v>-</v>
      </c>
      <c r="E242" s="61">
        <f t="shared" si="7"/>
        <v>107.6</v>
      </c>
      <c r="F242" s="61">
        <f t="shared" si="6"/>
        <v>288.2</v>
      </c>
    </row>
    <row r="243" spans="1:6">
      <c r="A243" s="68">
        <v>43586</v>
      </c>
      <c r="B243" s="42">
        <v>289.2</v>
      </c>
      <c r="C243" s="37">
        <v>107.9</v>
      </c>
      <c r="D243" s="62" t="str">
        <f>IF(ISBLANK(C243),INDEX(NGT_TO!$AP$513:$AZ$513,MATCH(YEAR(EOMONTH(A243,15)),NGT_TO!$AP$512:$AZ$512,0))/100,"-")</f>
        <v>-</v>
      </c>
      <c r="E243" s="61">
        <f t="shared" si="7"/>
        <v>107.9</v>
      </c>
      <c r="F243" s="61">
        <f t="shared" si="6"/>
        <v>289.2</v>
      </c>
    </row>
    <row r="244" spans="1:6">
      <c r="A244" s="68">
        <v>43617</v>
      </c>
      <c r="B244" s="42">
        <v>289.60000000000002</v>
      </c>
      <c r="C244" s="37">
        <v>107.9</v>
      </c>
      <c r="D244" s="62" t="str">
        <f>IF(ISBLANK(C244),INDEX(NGT_TO!$AP$513:$AZ$513,MATCH(YEAR(EOMONTH(A244,15)),NGT_TO!$AP$512:$AZ$512,0))/100,"-")</f>
        <v>-</v>
      </c>
      <c r="E244" s="61">
        <f t="shared" si="7"/>
        <v>107.9</v>
      </c>
      <c r="F244" s="61">
        <f t="shared" si="6"/>
        <v>289.60000000000002</v>
      </c>
    </row>
    <row r="245" spans="1:6">
      <c r="A245" s="68">
        <v>43647</v>
      </c>
      <c r="B245" s="42">
        <v>289.5</v>
      </c>
      <c r="C245" s="37">
        <v>108</v>
      </c>
      <c r="D245" s="62" t="str">
        <f>IF(ISBLANK(C245),INDEX(NGT_TO!$AP$513:$AZ$513,MATCH(YEAR(EOMONTH(A245,15)),NGT_TO!$AP$512:$AZ$512,0))/100,"-")</f>
        <v>-</v>
      </c>
      <c r="E245" s="61">
        <f t="shared" si="7"/>
        <v>108</v>
      </c>
      <c r="F245" s="61">
        <f t="shared" si="6"/>
        <v>289.5</v>
      </c>
    </row>
    <row r="246" spans="1:6">
      <c r="A246" s="68">
        <v>43678</v>
      </c>
      <c r="B246" s="42">
        <v>291.7</v>
      </c>
      <c r="C246" s="37">
        <v>108.3</v>
      </c>
      <c r="D246" s="62" t="str">
        <f>IF(ISBLANK(C246),INDEX(NGT_TO!$AP$513:$AZ$513,MATCH(YEAR(EOMONTH(A246,15)),NGT_TO!$AP$512:$AZ$512,0))/100,"-")</f>
        <v>-</v>
      </c>
      <c r="E246" s="61">
        <f t="shared" si="7"/>
        <v>108.3</v>
      </c>
      <c r="F246" s="61">
        <f t="shared" si="6"/>
        <v>291.7</v>
      </c>
    </row>
    <row r="247" spans="1:6">
      <c r="A247" s="68">
        <v>43709</v>
      </c>
      <c r="B247" s="42">
        <v>291</v>
      </c>
      <c r="C247" s="37">
        <v>108.4</v>
      </c>
      <c r="D247" s="62" t="str">
        <f>IF(ISBLANK(C247),INDEX(NGT_TO!$AP$513:$AZ$513,MATCH(YEAR(EOMONTH(A247,15)),NGT_TO!$AP$512:$AZ$512,0))/100,"-")</f>
        <v>-</v>
      </c>
      <c r="E247" s="61">
        <f t="shared" si="7"/>
        <v>108.4</v>
      </c>
      <c r="F247" s="61">
        <f t="shared" si="6"/>
        <v>291</v>
      </c>
    </row>
    <row r="248" spans="1:6">
      <c r="A248" s="68">
        <v>43739</v>
      </c>
      <c r="B248" s="42">
        <v>290.39999999999998</v>
      </c>
      <c r="C248" s="37">
        <v>108.3</v>
      </c>
      <c r="D248" s="62" t="str">
        <f>IF(ISBLANK(C248),INDEX(NGT_TO!$AP$513:$AZ$513,MATCH(YEAR(EOMONTH(A248,15)),NGT_TO!$AP$512:$AZ$512,0))/100,"-")</f>
        <v>-</v>
      </c>
      <c r="E248" s="61">
        <f t="shared" si="7"/>
        <v>108.3</v>
      </c>
      <c r="F248" s="61">
        <f t="shared" si="6"/>
        <v>290.39999999999998</v>
      </c>
    </row>
    <row r="249" spans="1:6">
      <c r="A249" s="68">
        <v>43770</v>
      </c>
      <c r="B249" s="42">
        <v>291</v>
      </c>
      <c r="C249" s="37">
        <v>108.5</v>
      </c>
      <c r="D249" s="62" t="str">
        <f>IF(ISBLANK(C249),INDEX(NGT_TO!$AP$513:$AZ$513,MATCH(YEAR(EOMONTH(A249,15)),NGT_TO!$AP$512:$AZ$512,0))/100,"-")</f>
        <v>-</v>
      </c>
      <c r="E249" s="61">
        <f t="shared" si="7"/>
        <v>108.5</v>
      </c>
      <c r="F249" s="61">
        <f t="shared" si="6"/>
        <v>291</v>
      </c>
    </row>
    <row r="250" spans="1:6">
      <c r="A250" s="68">
        <v>43800</v>
      </c>
      <c r="B250" s="42">
        <v>291.89999999999998</v>
      </c>
      <c r="C250" s="37">
        <v>108.5</v>
      </c>
      <c r="D250" s="62" t="str">
        <f>IF(ISBLANK(C250),INDEX(NGT_TO!$AP$513:$AZ$513,MATCH(YEAR(EOMONTH(A250,15)),NGT_TO!$AP$512:$AZ$512,0))/100,"-")</f>
        <v>-</v>
      </c>
      <c r="E250" s="61">
        <f t="shared" si="7"/>
        <v>108.5</v>
      </c>
      <c r="F250" s="61">
        <f t="shared" si="6"/>
        <v>291.89999999999998</v>
      </c>
    </row>
    <row r="251" spans="1:6">
      <c r="A251" s="68">
        <v>43831</v>
      </c>
      <c r="B251" s="42">
        <v>290.60000000000002</v>
      </c>
      <c r="C251" s="37">
        <v>108.3</v>
      </c>
      <c r="D251" s="62" t="str">
        <f>IF(ISBLANK(C251),INDEX(NGT_TO!$AP$513:$AZ$513,MATCH(YEAR(EOMONTH(A251,15)),NGT_TO!$AP$512:$AZ$512,0))/100,"-")</f>
        <v>-</v>
      </c>
      <c r="E251" s="61">
        <f t="shared" si="7"/>
        <v>108.3</v>
      </c>
      <c r="F251" s="61">
        <f t="shared" si="6"/>
        <v>290.60000000000002</v>
      </c>
    </row>
    <row r="252" spans="1:6">
      <c r="A252" s="68">
        <v>43862</v>
      </c>
      <c r="B252" s="42">
        <v>292</v>
      </c>
      <c r="C252" s="37">
        <v>108.6</v>
      </c>
      <c r="D252" s="62" t="str">
        <f>IF(ISBLANK(C252),INDEX(NGT_TO!$AP$513:$AZ$513,MATCH(YEAR(EOMONTH(A252,15)),NGT_TO!$AP$512:$AZ$512,0))/100,"-")</f>
        <v>-</v>
      </c>
      <c r="E252" s="61">
        <f t="shared" si="7"/>
        <v>108.6</v>
      </c>
      <c r="F252" s="61">
        <f t="shared" si="6"/>
        <v>292</v>
      </c>
    </row>
    <row r="253" spans="1:6">
      <c r="A253" s="68">
        <v>43891</v>
      </c>
      <c r="B253" s="42">
        <v>292.60000000000002</v>
      </c>
      <c r="C253" s="37">
        <v>108.6</v>
      </c>
      <c r="D253" s="62" t="str">
        <f>IF(ISBLANK(C253),INDEX(NGT_TO!$AP$513:$AZ$513,MATCH(YEAR(EOMONTH(A253,15)),NGT_TO!$AP$512:$AZ$512,0))/100,"-")</f>
        <v>-</v>
      </c>
      <c r="E253" s="61">
        <f t="shared" si="7"/>
        <v>108.6</v>
      </c>
      <c r="F253" s="61">
        <f t="shared" si="6"/>
        <v>292.60000000000002</v>
      </c>
    </row>
    <row r="254" spans="1:6">
      <c r="A254" s="68">
        <v>43922</v>
      </c>
      <c r="B254" s="42">
        <v>292.60000000000002</v>
      </c>
      <c r="C254" s="37">
        <v>108.6</v>
      </c>
      <c r="D254" s="62" t="str">
        <f>IF(ISBLANK(C254),INDEX(NGT_TO!$AP$513:$AZ$513,MATCH(YEAR(EOMONTH(A254,15)),NGT_TO!$AP$512:$AZ$512,0))/100,"-")</f>
        <v>-</v>
      </c>
      <c r="E254" s="61">
        <f t="shared" si="7"/>
        <v>108.6</v>
      </c>
      <c r="F254" s="61">
        <f t="shared" si="6"/>
        <v>292.60000000000002</v>
      </c>
    </row>
    <row r="255" spans="1:6">
      <c r="A255" s="68">
        <v>43952</v>
      </c>
      <c r="B255" s="42">
        <v>292.2</v>
      </c>
      <c r="C255" s="37">
        <v>108.6</v>
      </c>
      <c r="D255" s="62" t="str">
        <f>IF(ISBLANK(C255),INDEX(NGT_TO!$AP$513:$AZ$513,MATCH(YEAR(EOMONTH(A255,15)),NGT_TO!$AP$512:$AZ$512,0))/100,"-")</f>
        <v>-</v>
      </c>
      <c r="E255" s="61">
        <f t="shared" si="7"/>
        <v>108.6</v>
      </c>
      <c r="F255" s="61">
        <f t="shared" si="6"/>
        <v>292.2</v>
      </c>
    </row>
    <row r="256" spans="1:6">
      <c r="A256" s="68">
        <v>43983</v>
      </c>
      <c r="B256" s="42">
        <v>292.7</v>
      </c>
      <c r="C256" s="37">
        <v>108.8</v>
      </c>
      <c r="D256" s="62" t="str">
        <f>IF(ISBLANK(C256),INDEX(NGT_TO!$AP$513:$AZ$513,MATCH(YEAR(EOMONTH(A256,15)),NGT_TO!$AP$512:$AZ$512,0))/100,"-")</f>
        <v>-</v>
      </c>
      <c r="E256" s="61">
        <f t="shared" si="7"/>
        <v>108.8</v>
      </c>
      <c r="F256" s="61">
        <f t="shared" si="6"/>
        <v>292.7</v>
      </c>
    </row>
    <row r="257" spans="1:6">
      <c r="A257" s="68">
        <v>44013</v>
      </c>
      <c r="B257" s="42">
        <v>294.2</v>
      </c>
      <c r="C257" s="37">
        <v>109.2</v>
      </c>
      <c r="D257" s="62" t="str">
        <f>IF(ISBLANK(C257),INDEX(NGT_TO!$AP$513:$AZ$513,MATCH(YEAR(EOMONTH(A257,15)),NGT_TO!$AP$512:$AZ$512,0))/100,"-")</f>
        <v>-</v>
      </c>
      <c r="E257" s="61">
        <f t="shared" si="7"/>
        <v>109.2</v>
      </c>
      <c r="F257" s="61">
        <f t="shared" si="6"/>
        <v>294.2</v>
      </c>
    </row>
    <row r="258" spans="1:6">
      <c r="A258" s="68">
        <v>44044</v>
      </c>
      <c r="B258" s="42">
        <v>293.3</v>
      </c>
      <c r="C258" s="37">
        <v>108.8</v>
      </c>
      <c r="D258" s="62" t="str">
        <f>IF(ISBLANK(C258),INDEX(NGT_TO!$AP$513:$AZ$513,MATCH(YEAR(EOMONTH(A258,15)),NGT_TO!$AP$512:$AZ$512,0))/100,"-")</f>
        <v>-</v>
      </c>
      <c r="E258" s="61">
        <f t="shared" si="7"/>
        <v>108.8</v>
      </c>
      <c r="F258" s="61">
        <f t="shared" ref="F258:F321" si="8">IF(ISBLANK(B258),F257*(E258/E257),B258)</f>
        <v>293.3</v>
      </c>
    </row>
    <row r="259" spans="1:6">
      <c r="A259" s="68">
        <v>44075</v>
      </c>
      <c r="B259" s="42">
        <v>294.3</v>
      </c>
      <c r="C259" s="37">
        <v>109.2</v>
      </c>
      <c r="D259" s="62" t="str">
        <f>IF(ISBLANK(C259),INDEX(NGT_TO!$AP$513:$AZ$513,MATCH(YEAR(EOMONTH(A259,15)),NGT_TO!$AP$512:$AZ$512,0))/100,"-")</f>
        <v>-</v>
      </c>
      <c r="E259" s="61">
        <f t="shared" ref="E259:E322" si="9">IF(ISBLANK(C259),E258*((1+D259)^(1/12)),C259)</f>
        <v>109.2</v>
      </c>
      <c r="F259" s="61">
        <f t="shared" si="8"/>
        <v>294.3</v>
      </c>
    </row>
    <row r="260" spans="1:6">
      <c r="A260" s="68">
        <v>44105</v>
      </c>
      <c r="B260" s="42">
        <v>294.3</v>
      </c>
      <c r="C260" s="37">
        <v>109.2</v>
      </c>
      <c r="D260" s="62" t="str">
        <f>IF(ISBLANK(C260),INDEX(NGT_TO!$AP$513:$AZ$513,MATCH(YEAR(EOMONTH(A260,15)),NGT_TO!$AP$512:$AZ$512,0))/100,"-")</f>
        <v>-</v>
      </c>
      <c r="E260" s="61">
        <f t="shared" si="9"/>
        <v>109.2</v>
      </c>
      <c r="F260" s="61">
        <f t="shared" si="8"/>
        <v>294.3</v>
      </c>
    </row>
    <row r="261" spans="1:6">
      <c r="A261" s="68">
        <v>44136</v>
      </c>
      <c r="B261" s="42">
        <v>293.5</v>
      </c>
      <c r="C261" s="37">
        <v>109.1</v>
      </c>
      <c r="D261" s="62" t="str">
        <f>IF(ISBLANK(C261),INDEX(NGT_TO!$AP$513:$AZ$513,MATCH(YEAR(EOMONTH(A261,15)),NGT_TO!$AP$512:$AZ$512,0))/100,"-")</f>
        <v>-</v>
      </c>
      <c r="E261" s="61">
        <f t="shared" si="9"/>
        <v>109.1</v>
      </c>
      <c r="F261" s="61">
        <f t="shared" si="8"/>
        <v>293.5</v>
      </c>
    </row>
    <row r="262" spans="1:6">
      <c r="A262" s="68">
        <v>44166</v>
      </c>
      <c r="B262" s="42">
        <v>295.39999999999998</v>
      </c>
      <c r="C262" s="37">
        <v>109.4</v>
      </c>
      <c r="D262" s="62" t="str">
        <f>IF(ISBLANK(C262),INDEX(NGT_TO!$AP$513:$AZ$513,MATCH(YEAR(EOMONTH(A262,15)),NGT_TO!$AP$512:$AZ$512,0))/100,"-")</f>
        <v>-</v>
      </c>
      <c r="E262" s="61">
        <f t="shared" si="9"/>
        <v>109.4</v>
      </c>
      <c r="F262" s="61">
        <f t="shared" si="8"/>
        <v>295.39999999999998</v>
      </c>
    </row>
    <row r="263" spans="1:6">
      <c r="A263" s="68">
        <v>44197</v>
      </c>
      <c r="B263" s="42">
        <v>294.60000000000002</v>
      </c>
      <c r="C263" s="37">
        <v>109.3</v>
      </c>
      <c r="D263" s="62" t="str">
        <f>IF(ISBLANK(C263),INDEX(NGT_TO!$AP$513:$AZ$513,MATCH(YEAR(EOMONTH(A263,15)),NGT_TO!$AP$512:$AZ$512,0))/100,"-")</f>
        <v>-</v>
      </c>
      <c r="E263" s="61">
        <f t="shared" si="9"/>
        <v>109.3</v>
      </c>
      <c r="F263" s="61">
        <f t="shared" si="8"/>
        <v>294.60000000000002</v>
      </c>
    </row>
    <row r="264" spans="1:6">
      <c r="A264" s="68">
        <v>44228</v>
      </c>
      <c r="B264" s="42">
        <v>296</v>
      </c>
      <c r="C264" s="37">
        <v>109.4</v>
      </c>
      <c r="D264" s="62" t="str">
        <f>IF(ISBLANK(C264),INDEX(NGT_TO!$AP$513:$AZ$513,MATCH(YEAR(EOMONTH(A264,15)),NGT_TO!$AP$512:$AZ$512,0))/100,"-")</f>
        <v>-</v>
      </c>
      <c r="E264" s="61">
        <f t="shared" si="9"/>
        <v>109.4</v>
      </c>
      <c r="F264" s="61">
        <f t="shared" si="8"/>
        <v>296</v>
      </c>
    </row>
    <row r="265" spans="1:6">
      <c r="A265" s="68">
        <v>44256</v>
      </c>
      <c r="B265" s="42">
        <v>296.89999999999998</v>
      </c>
      <c r="C265" s="37">
        <v>109.7</v>
      </c>
      <c r="D265" s="62" t="str">
        <f>IF(ISBLANK(C265),INDEX(NGT_TO!$AP$513:$AZ$513,MATCH(YEAR(EOMONTH(A265,15)),NGT_TO!$AP$512:$AZ$512,0))/100,"-")</f>
        <v>-</v>
      </c>
      <c r="E265" s="61">
        <f t="shared" si="9"/>
        <v>109.7</v>
      </c>
      <c r="F265" s="61">
        <f t="shared" si="8"/>
        <v>296.89999999999998</v>
      </c>
    </row>
    <row r="266" spans="1:6">
      <c r="A266" s="68">
        <v>44287</v>
      </c>
      <c r="B266" s="42">
        <v>299.94726526891526</v>
      </c>
      <c r="C266" s="37">
        <v>110.4</v>
      </c>
      <c r="D266" s="62" t="str">
        <f>IF(ISBLANK(C266),INDEX(NGT_TO!$AP$513:$AZ$513,MATCH(YEAR(EOMONTH(A266,15)),NGT_TO!$AP$512:$AZ$512,0))/100,"-")</f>
        <v>-</v>
      </c>
      <c r="E266" s="61">
        <f t="shared" si="9"/>
        <v>110.4</v>
      </c>
      <c r="F266" s="61">
        <f t="shared" si="8"/>
        <v>299.94726526891526</v>
      </c>
    </row>
    <row r="267" spans="1:6">
      <c r="A267" s="68">
        <v>44317</v>
      </c>
      <c r="C267" s="37">
        <v>111</v>
      </c>
      <c r="D267" s="62" t="str">
        <f>IF(ISBLANK(C267),INDEX(NGT_TO!$AP$513:$AZ$513,MATCH(YEAR(EOMONTH(A267,15)),NGT_TO!$AP$512:$AZ$512,0))/100,"-")</f>
        <v>-</v>
      </c>
      <c r="E267" s="61">
        <f t="shared" si="9"/>
        <v>111</v>
      </c>
      <c r="F267" s="61">
        <f t="shared" si="8"/>
        <v>301.57741344972453</v>
      </c>
    </row>
    <row r="268" spans="1:6">
      <c r="A268" s="68">
        <v>44348</v>
      </c>
      <c r="C268" s="37">
        <v>111.4</v>
      </c>
      <c r="D268" s="62" t="str">
        <f>IF(ISBLANK(C268),INDEX(NGT_TO!$AP$513:$AZ$513,MATCH(YEAR(EOMONTH(A268,15)),NGT_TO!$AP$512:$AZ$512,0))/100,"-")</f>
        <v>-</v>
      </c>
      <c r="E268" s="61">
        <f t="shared" si="9"/>
        <v>111.4</v>
      </c>
      <c r="F268" s="61">
        <f t="shared" si="8"/>
        <v>302.66417890359742</v>
      </c>
    </row>
    <row r="269" spans="1:6">
      <c r="A269" s="68">
        <v>44378</v>
      </c>
      <c r="C269" s="37">
        <v>111.4</v>
      </c>
      <c r="D269" s="62" t="str">
        <f>IF(ISBLANK(C269),INDEX(NGT_TO!$AP$513:$AZ$513,MATCH(YEAR(EOMONTH(A269,15)),NGT_TO!$AP$512:$AZ$512,0))/100,"-")</f>
        <v>-</v>
      </c>
      <c r="E269" s="61">
        <f t="shared" si="9"/>
        <v>111.4</v>
      </c>
      <c r="F269" s="61">
        <f t="shared" si="8"/>
        <v>302.66417890359742</v>
      </c>
    </row>
    <row r="270" spans="1:6">
      <c r="A270" s="68">
        <v>44409</v>
      </c>
      <c r="C270" s="37">
        <v>112.1</v>
      </c>
      <c r="D270" s="62" t="str">
        <f>IF(ISBLANK(C270),INDEX(NGT_TO!$AP$513:$AZ$513,MATCH(YEAR(EOMONTH(A270,15)),NGT_TO!$AP$512:$AZ$512,0))/100,"-")</f>
        <v>-</v>
      </c>
      <c r="E270" s="61">
        <f t="shared" si="9"/>
        <v>112.1</v>
      </c>
      <c r="F270" s="61">
        <f t="shared" si="8"/>
        <v>304.56601844787491</v>
      </c>
    </row>
    <row r="271" spans="1:6">
      <c r="A271" s="68">
        <v>44440</v>
      </c>
      <c r="C271" s="37">
        <v>112.4</v>
      </c>
      <c r="D271" s="62" t="str">
        <f>IF(ISBLANK(C271),INDEX(NGT_TO!$AP$513:$AZ$513,MATCH(YEAR(EOMONTH(A271,15)),NGT_TO!$AP$512:$AZ$512,0))/100,"-")</f>
        <v>-</v>
      </c>
      <c r="E271" s="61">
        <f t="shared" si="9"/>
        <v>112.4</v>
      </c>
      <c r="F271" s="61">
        <f t="shared" si="8"/>
        <v>305.38109253827957</v>
      </c>
    </row>
    <row r="272" spans="1:6">
      <c r="A272" s="68">
        <v>44470</v>
      </c>
      <c r="C272" s="37">
        <v>113.4</v>
      </c>
      <c r="D272" s="62" t="str">
        <f>IF(ISBLANK(C272),INDEX(NGT_TO!$AP$513:$AZ$513,MATCH(YEAR(EOMONTH(A272,15)),NGT_TO!$AP$512:$AZ$512,0))/100,"-")</f>
        <v>-</v>
      </c>
      <c r="E272" s="61">
        <f t="shared" si="9"/>
        <v>113.4</v>
      </c>
      <c r="F272" s="61">
        <f t="shared" si="8"/>
        <v>308.09800617296179</v>
      </c>
    </row>
    <row r="273" spans="1:6">
      <c r="A273" s="68">
        <v>44501</v>
      </c>
      <c r="C273" s="37">
        <v>114.1</v>
      </c>
      <c r="D273" s="62" t="str">
        <f>IF(ISBLANK(C273),INDEX(NGT_TO!$AP$513:$AZ$513,MATCH(YEAR(EOMONTH(A273,15)),NGT_TO!$AP$512:$AZ$512,0))/100,"-")</f>
        <v>-</v>
      </c>
      <c r="E273" s="61">
        <f t="shared" si="9"/>
        <v>114.1</v>
      </c>
      <c r="F273" s="61">
        <f t="shared" si="8"/>
        <v>309.99984571723928</v>
      </c>
    </row>
    <row r="274" spans="1:6">
      <c r="A274" s="68">
        <v>44531</v>
      </c>
      <c r="C274" s="37">
        <v>114.7</v>
      </c>
      <c r="D274" s="62" t="str">
        <f>IF(ISBLANK(C274),INDEX(NGT_TO!$AP$513:$AZ$513,MATCH(YEAR(EOMONTH(A274,15)),NGT_TO!$AP$512:$AZ$512,0))/100,"-")</f>
        <v>-</v>
      </c>
      <c r="E274" s="61">
        <f t="shared" si="9"/>
        <v>114.7</v>
      </c>
      <c r="F274" s="61">
        <f t="shared" si="8"/>
        <v>311.62999389804861</v>
      </c>
    </row>
    <row r="275" spans="1:6">
      <c r="A275" s="68">
        <v>44562</v>
      </c>
      <c r="C275" s="37">
        <v>114.6</v>
      </c>
      <c r="D275" s="62" t="str">
        <f>IF(ISBLANK(C275),INDEX(NGT_TO!$AP$513:$AZ$513,MATCH(YEAR(EOMONTH(A275,15)),NGT_TO!$AP$512:$AZ$512,0))/100,"-")</f>
        <v>-</v>
      </c>
      <c r="E275" s="61">
        <f t="shared" si="9"/>
        <v>114.6</v>
      </c>
      <c r="F275" s="61">
        <f t="shared" si="8"/>
        <v>311.35830253458039</v>
      </c>
    </row>
    <row r="276" spans="1:6">
      <c r="A276" s="68">
        <v>44593</v>
      </c>
      <c r="C276" s="37">
        <v>115.4</v>
      </c>
      <c r="D276" s="62" t="str">
        <f>IF(ISBLANK(C276),INDEX(NGT_TO!$AP$513:$AZ$513,MATCH(YEAR(EOMONTH(A276,15)),NGT_TO!$AP$512:$AZ$512,0))/100,"-")</f>
        <v>-</v>
      </c>
      <c r="E276" s="61">
        <f t="shared" si="9"/>
        <v>115.4</v>
      </c>
      <c r="F276" s="61">
        <f t="shared" si="8"/>
        <v>313.53183344232622</v>
      </c>
    </row>
    <row r="277" spans="1:6">
      <c r="A277" s="68">
        <v>44621</v>
      </c>
      <c r="C277" s="37">
        <v>116.5</v>
      </c>
      <c r="D277" s="62" t="str">
        <f>IF(ISBLANK(C277),INDEX(NGT_TO!$AP$513:$AZ$513,MATCH(YEAR(EOMONTH(A277,15)),NGT_TO!$AP$512:$AZ$512,0))/100,"-")</f>
        <v>-</v>
      </c>
      <c r="E277" s="61">
        <f t="shared" si="9"/>
        <v>116.5</v>
      </c>
      <c r="F277" s="61">
        <f t="shared" si="8"/>
        <v>316.5204384404766</v>
      </c>
    </row>
    <row r="278" spans="1:6">
      <c r="A278" s="68">
        <v>44652</v>
      </c>
      <c r="C278" s="37">
        <v>119</v>
      </c>
      <c r="D278" s="62" t="str">
        <f>IF(ISBLANK(C278),INDEX(NGT_TO!$AP$513:$AZ$513,MATCH(YEAR(EOMONTH(A278,15)),NGT_TO!$AP$512:$AZ$512,0))/100,"-")</f>
        <v>-</v>
      </c>
      <c r="E278" s="61">
        <f t="shared" si="9"/>
        <v>119</v>
      </c>
      <c r="F278" s="61">
        <f t="shared" si="8"/>
        <v>323.31272252718207</v>
      </c>
    </row>
    <row r="279" spans="1:6">
      <c r="A279" s="68">
        <v>44682</v>
      </c>
      <c r="C279" s="37">
        <v>119.7</v>
      </c>
      <c r="D279" s="62" t="str">
        <f>IF(ISBLANK(C279),INDEX(NGT_TO!$AP$513:$AZ$513,MATCH(YEAR(EOMONTH(A279,15)),NGT_TO!$AP$512:$AZ$512,0))/100,"-")</f>
        <v>-</v>
      </c>
      <c r="E279" s="61">
        <f t="shared" si="9"/>
        <v>119.7</v>
      </c>
      <c r="F279" s="61">
        <f t="shared" si="8"/>
        <v>325.21456207145962</v>
      </c>
    </row>
    <row r="280" spans="1:6">
      <c r="A280" s="68">
        <v>44713</v>
      </c>
      <c r="C280" s="37">
        <v>120.5</v>
      </c>
      <c r="D280" s="62" t="str">
        <f>IF(ISBLANK(C280),INDEX(NGT_TO!$AP$513:$AZ$513,MATCH(YEAR(EOMONTH(A280,15)),NGT_TO!$AP$512:$AZ$512,0))/100,"-")</f>
        <v>-</v>
      </c>
      <c r="E280" s="61">
        <f t="shared" si="9"/>
        <v>120.5</v>
      </c>
      <c r="F280" s="61">
        <f t="shared" si="8"/>
        <v>327.3880929792054</v>
      </c>
    </row>
    <row r="281" spans="1:6">
      <c r="A281" s="68">
        <v>44743</v>
      </c>
      <c r="C281" s="37">
        <v>121.2</v>
      </c>
      <c r="D281" s="62" t="str">
        <f>IF(ISBLANK(C281),INDEX(NGT_TO!$AP$513:$AZ$513,MATCH(YEAR(EOMONTH(A281,15)),NGT_TO!$AP$512:$AZ$512,0))/100,"-")</f>
        <v>-</v>
      </c>
      <c r="E281" s="61">
        <f t="shared" si="9"/>
        <v>121.2</v>
      </c>
      <c r="F281" s="61">
        <f t="shared" si="8"/>
        <v>329.28993252348295</v>
      </c>
    </row>
    <row r="282" spans="1:6">
      <c r="A282" s="68">
        <v>44774</v>
      </c>
      <c r="C282" s="37">
        <v>121.8</v>
      </c>
      <c r="D282" s="62" t="str">
        <f>IF(ISBLANK(C282),INDEX(NGT_TO!$AP$513:$AZ$513,MATCH(YEAR(EOMONTH(A282,15)),NGT_TO!$AP$512:$AZ$512,0))/100,"-")</f>
        <v>-</v>
      </c>
      <c r="E282" s="61">
        <f t="shared" si="9"/>
        <v>121.8</v>
      </c>
      <c r="F282" s="61">
        <f t="shared" si="8"/>
        <v>330.92008070429227</v>
      </c>
    </row>
    <row r="283" spans="1:6">
      <c r="A283" s="68">
        <v>44805</v>
      </c>
      <c r="C283" s="37">
        <v>122.3</v>
      </c>
      <c r="D283" s="62" t="str">
        <f>IF(ISBLANK(C283),INDEX(NGT_TO!$AP$513:$AZ$513,MATCH(YEAR(EOMONTH(A283,15)),NGT_TO!$AP$512:$AZ$512,0))/100,"-")</f>
        <v>-</v>
      </c>
      <c r="E283" s="61">
        <f t="shared" si="9"/>
        <v>122.3</v>
      </c>
      <c r="F283" s="61">
        <f t="shared" si="8"/>
        <v>332.27853752163338</v>
      </c>
    </row>
    <row r="284" spans="1:6">
      <c r="A284" s="68">
        <v>44835</v>
      </c>
      <c r="C284" s="37">
        <v>124.3</v>
      </c>
      <c r="D284" s="62" t="str">
        <f>IF(ISBLANK(C284),INDEX(NGT_TO!$AP$513:$AZ$513,MATCH(YEAR(EOMONTH(A284,15)),NGT_TO!$AP$512:$AZ$512,0))/100,"-")</f>
        <v>-</v>
      </c>
      <c r="E284" s="61">
        <f t="shared" si="9"/>
        <v>124.3</v>
      </c>
      <c r="F284" s="61">
        <f t="shared" si="8"/>
        <v>337.71236479099775</v>
      </c>
    </row>
    <row r="285" spans="1:6">
      <c r="A285" s="68">
        <v>44866</v>
      </c>
      <c r="C285" s="37">
        <v>124.8</v>
      </c>
      <c r="D285" s="62" t="str">
        <f>IF(ISBLANK(C285),INDEX(NGT_TO!$AP$513:$AZ$513,MATCH(YEAR(EOMONTH(A285,15)),NGT_TO!$AP$512:$AZ$512,0))/100,"-")</f>
        <v>-</v>
      </c>
      <c r="E285" s="61">
        <f t="shared" si="9"/>
        <v>124.8</v>
      </c>
      <c r="F285" s="61">
        <f t="shared" si="8"/>
        <v>339.07082160833886</v>
      </c>
    </row>
    <row r="286" spans="1:6">
      <c r="A286" s="68">
        <v>44896</v>
      </c>
      <c r="C286" s="37">
        <v>125.3</v>
      </c>
      <c r="D286" s="62" t="str">
        <f>IF(ISBLANK(C286),INDEX(NGT_TO!$AP$513:$AZ$513,MATCH(YEAR(EOMONTH(A286,15)),NGT_TO!$AP$512:$AZ$512,0))/100,"-")</f>
        <v>-</v>
      </c>
      <c r="E286" s="61">
        <f t="shared" si="9"/>
        <v>125.3</v>
      </c>
      <c r="F286" s="61">
        <f t="shared" si="8"/>
        <v>340.42927842567997</v>
      </c>
    </row>
    <row r="287" spans="1:6">
      <c r="A287" s="68">
        <v>44927</v>
      </c>
      <c r="C287" s="37">
        <v>124.8</v>
      </c>
      <c r="D287" s="62" t="str">
        <f>IF(ISBLANK(C287),INDEX(NGT_TO!$AP$513:$AZ$513,MATCH(YEAR(EOMONTH(A287,15)),NGT_TO!$AP$512:$AZ$512,0))/100,"-")</f>
        <v>-</v>
      </c>
      <c r="E287" s="61">
        <f t="shared" si="9"/>
        <v>124.8</v>
      </c>
      <c r="F287" s="61">
        <f t="shared" si="8"/>
        <v>339.07082160833886</v>
      </c>
    </row>
    <row r="288" spans="1:6">
      <c r="A288" s="68">
        <v>44958</v>
      </c>
      <c r="C288" s="37">
        <v>126</v>
      </c>
      <c r="D288" s="62" t="str">
        <f>IF(ISBLANK(C288),INDEX(NGT_TO!$AP$513:$AZ$513,MATCH(YEAR(EOMONTH(A288,15)),NGT_TO!$AP$512:$AZ$512,0))/100,"-")</f>
        <v>-</v>
      </c>
      <c r="E288" s="61">
        <f t="shared" si="9"/>
        <v>126</v>
      </c>
      <c r="F288" s="61">
        <f t="shared" si="8"/>
        <v>342.33111796995752</v>
      </c>
    </row>
    <row r="289" spans="1:6">
      <c r="A289" s="68">
        <v>44986</v>
      </c>
      <c r="C289" s="37">
        <v>126.8</v>
      </c>
      <c r="D289" s="62" t="str">
        <f>IF(ISBLANK(C289),INDEX(NGT_TO!$AP$513:$AZ$513,MATCH(YEAR(EOMONTH(A289,15)),NGT_TO!$AP$512:$AZ$512,0))/100,"-")</f>
        <v>-</v>
      </c>
      <c r="E289" s="61">
        <f t="shared" si="9"/>
        <v>126.8</v>
      </c>
      <c r="F289" s="61">
        <f t="shared" si="8"/>
        <v>344.50464887770329</v>
      </c>
    </row>
    <row r="290" spans="1:6">
      <c r="A290" s="68">
        <v>45017</v>
      </c>
      <c r="C290" s="37">
        <v>128.30000000000001</v>
      </c>
      <c r="D290" s="62" t="str">
        <f>IF(ISBLANK(C290),INDEX(NGT_TO!$AP$513:$AZ$513,MATCH(YEAR(EOMONTH(A290,15)),NGT_TO!$AP$512:$AZ$512,0))/100,"-")</f>
        <v>-</v>
      </c>
      <c r="E290" s="61">
        <f t="shared" si="9"/>
        <v>128.30000000000001</v>
      </c>
      <c r="F290" s="61">
        <f t="shared" si="8"/>
        <v>348.58001932972667</v>
      </c>
    </row>
    <row r="291" spans="1:6">
      <c r="A291" s="68">
        <v>45047</v>
      </c>
      <c r="C291" s="37">
        <v>129.1</v>
      </c>
      <c r="D291" s="62" t="str">
        <f>IF(ISBLANK(C291),INDEX(NGT_TO!$AP$513:$AZ$513,MATCH(YEAR(EOMONTH(A291,15)),NGT_TO!$AP$512:$AZ$512,0))/100,"-")</f>
        <v>-</v>
      </c>
      <c r="E291" s="61">
        <f t="shared" si="9"/>
        <v>129.1</v>
      </c>
      <c r="F291" s="61">
        <f t="shared" si="8"/>
        <v>350.75355023747244</v>
      </c>
    </row>
    <row r="292" spans="1:6">
      <c r="A292" s="68">
        <v>45078</v>
      </c>
      <c r="C292" s="37">
        <v>129.4</v>
      </c>
      <c r="D292" s="62" t="str">
        <f>IF(ISBLANK(C292),INDEX(NGT_TO!$AP$513:$AZ$513,MATCH(YEAR(EOMONTH(A292,15)),NGT_TO!$AP$512:$AZ$512,0))/100,"-")</f>
        <v>-</v>
      </c>
      <c r="E292" s="61">
        <f t="shared" si="9"/>
        <v>129.4</v>
      </c>
      <c r="F292" s="61">
        <f t="shared" si="8"/>
        <v>351.56862432787716</v>
      </c>
    </row>
    <row r="293" spans="1:6">
      <c r="A293" s="68">
        <v>45108</v>
      </c>
      <c r="C293" s="37">
        <v>129</v>
      </c>
      <c r="D293" s="62" t="str">
        <f>IF(ISBLANK(C293),INDEX(NGT_TO!$AP$513:$AZ$513,MATCH(YEAR(EOMONTH(A293,15)),NGT_TO!$AP$512:$AZ$512,0))/100,"-")</f>
        <v>-</v>
      </c>
      <c r="E293" s="61">
        <f t="shared" si="9"/>
        <v>129</v>
      </c>
      <c r="F293" s="61">
        <f t="shared" si="8"/>
        <v>350.48185887400427</v>
      </c>
    </row>
    <row r="294" spans="1:6">
      <c r="A294" s="68">
        <v>45139</v>
      </c>
      <c r="C294" s="37">
        <v>129.4</v>
      </c>
      <c r="D294" s="62" t="str">
        <f>IF(ISBLANK(C294),INDEX(NGT_TO!$AP$513:$AZ$513,MATCH(YEAR(EOMONTH(A294,15)),NGT_TO!$AP$512:$AZ$512,0))/100,"-")</f>
        <v>-</v>
      </c>
      <c r="E294" s="61">
        <f t="shared" si="9"/>
        <v>129.4</v>
      </c>
      <c r="F294" s="61">
        <f t="shared" si="8"/>
        <v>351.56862432787722</v>
      </c>
    </row>
    <row r="295" spans="1:6">
      <c r="A295" s="68">
        <v>45170</v>
      </c>
      <c r="C295" s="37">
        <v>130.1</v>
      </c>
      <c r="D295" s="62" t="str">
        <f>IF(ISBLANK(C295),INDEX(NGT_TO!$AP$513:$AZ$513,MATCH(YEAR(EOMONTH(A295,15)),NGT_TO!$AP$512:$AZ$512,0))/100,"-")</f>
        <v>-</v>
      </c>
      <c r="E295" s="61">
        <f t="shared" si="9"/>
        <v>130.1</v>
      </c>
      <c r="F295" s="61">
        <f t="shared" si="8"/>
        <v>353.47046387215471</v>
      </c>
    </row>
    <row r="296" spans="1:6">
      <c r="A296" s="68">
        <v>45200</v>
      </c>
      <c r="C296" s="37">
        <v>130.19999999999999</v>
      </c>
      <c r="D296" s="62" t="str">
        <f>IF(ISBLANK(C296),INDEX(NGT_TO!$AP$513:$AZ$513,MATCH(YEAR(EOMONTH(A296,15)),NGT_TO!$AP$512:$AZ$512,0))/100,"-")</f>
        <v>-</v>
      </c>
      <c r="E296" s="61">
        <f t="shared" si="9"/>
        <v>130.19999999999999</v>
      </c>
      <c r="F296" s="61">
        <f t="shared" si="8"/>
        <v>353.74215523562287</v>
      </c>
    </row>
    <row r="297" spans="1:6">
      <c r="A297" s="68">
        <v>45231</v>
      </c>
      <c r="C297" s="37">
        <v>130</v>
      </c>
      <c r="D297" s="62" t="str">
        <f>IF(ISBLANK(C297),INDEX(NGT_TO!$AP$513:$AZ$513,MATCH(YEAR(EOMONTH(A297,15)),NGT_TO!$AP$512:$AZ$512,0))/100,"-")</f>
        <v>-</v>
      </c>
      <c r="E297" s="61">
        <f t="shared" si="9"/>
        <v>130</v>
      </c>
      <c r="F297" s="61">
        <f t="shared" si="8"/>
        <v>353.19877250868649</v>
      </c>
    </row>
    <row r="298" spans="1:6">
      <c r="A298" s="68">
        <v>45261</v>
      </c>
      <c r="C298" s="37">
        <v>130.5</v>
      </c>
      <c r="D298" s="62" t="str">
        <f>IF(ISBLANK(C298),INDEX(NGT_TO!$AP$513:$AZ$513,MATCH(YEAR(EOMONTH(A298,15)),NGT_TO!$AP$512:$AZ$512,0))/100,"-")</f>
        <v>-</v>
      </c>
      <c r="E298" s="61">
        <f t="shared" si="9"/>
        <v>130.5</v>
      </c>
      <c r="F298" s="61">
        <f t="shared" si="8"/>
        <v>354.5572293260276</v>
      </c>
    </row>
    <row r="299" spans="1:6">
      <c r="A299" s="68">
        <v>45292</v>
      </c>
      <c r="C299" s="37">
        <v>130</v>
      </c>
      <c r="D299" s="62" t="str">
        <f>IF(ISBLANK(C299),INDEX(NGT_TO!$AP$513:$AZ$513,MATCH(YEAR(EOMONTH(A299,15)),NGT_TO!$AP$512:$AZ$512,0))/100,"-")</f>
        <v>-</v>
      </c>
      <c r="E299" s="61">
        <f t="shared" si="9"/>
        <v>130</v>
      </c>
      <c r="F299" s="61">
        <f t="shared" si="8"/>
        <v>353.19877250868649</v>
      </c>
    </row>
    <row r="300" spans="1:6">
      <c r="A300" s="68">
        <v>45323</v>
      </c>
      <c r="C300" s="37">
        <v>130.80000000000001</v>
      </c>
      <c r="D300" s="62" t="str">
        <f>IF(ISBLANK(C300),INDEX(NGT_TO!$AP$513:$AZ$513,MATCH(YEAR(EOMONTH(A300,15)),NGT_TO!$AP$512:$AZ$512,0))/100,"-")</f>
        <v>-</v>
      </c>
      <c r="E300" s="61">
        <f t="shared" si="9"/>
        <v>130.80000000000001</v>
      </c>
      <c r="F300" s="61">
        <f t="shared" si="8"/>
        <v>355.37230341643226</v>
      </c>
    </row>
    <row r="301" spans="1:6">
      <c r="A301" s="68">
        <v>45352</v>
      </c>
      <c r="C301" s="37">
        <v>131.6</v>
      </c>
      <c r="D301" s="62" t="str">
        <f>IF(ISBLANK(C301),INDEX(NGT_TO!$AP$513:$AZ$513,MATCH(YEAR(EOMONTH(A301,15)),NGT_TO!$AP$512:$AZ$512,0))/100,"-")</f>
        <v>-</v>
      </c>
      <c r="E301" s="61">
        <f t="shared" si="9"/>
        <v>131.6</v>
      </c>
      <c r="F301" s="61">
        <f t="shared" si="8"/>
        <v>357.54583432417797</v>
      </c>
    </row>
    <row r="302" spans="1:6">
      <c r="A302" s="68">
        <v>45383</v>
      </c>
      <c r="C302" s="37">
        <v>132.19999999999999</v>
      </c>
      <c r="D302" s="62" t="str">
        <f>IF(ISBLANK(C302),INDEX(NGT_TO!$AP$513:$AZ$513,MATCH(YEAR(EOMONTH(A302,15)),NGT_TO!$AP$512:$AZ$512,0))/100,"-")</f>
        <v>-</v>
      </c>
      <c r="E302" s="61">
        <f t="shared" si="9"/>
        <v>132.19999999999999</v>
      </c>
      <c r="F302" s="61">
        <f t="shared" si="8"/>
        <v>359.17598250498725</v>
      </c>
    </row>
    <row r="303" spans="1:6">
      <c r="A303" s="68">
        <v>45413</v>
      </c>
      <c r="C303" s="37">
        <v>132.69999999999999</v>
      </c>
      <c r="D303" s="62" t="str">
        <f>IF(ISBLANK(C303),INDEX(NGT_TO!$AP$513:$AZ$513,MATCH(YEAR(EOMONTH(A303,15)),NGT_TO!$AP$512:$AZ$512,0))/100,"-")</f>
        <v>-</v>
      </c>
      <c r="E303" s="61">
        <f t="shared" si="9"/>
        <v>132.69999999999999</v>
      </c>
      <c r="F303" s="61">
        <f t="shared" si="8"/>
        <v>360.53443932232835</v>
      </c>
    </row>
    <row r="304" spans="1:6">
      <c r="A304" s="68">
        <v>45444</v>
      </c>
      <c r="C304" s="37">
        <v>133</v>
      </c>
      <c r="D304" s="62" t="str">
        <f>IF(ISBLANK(C304),INDEX(NGT_TO!$AP$513:$AZ$513,MATCH(YEAR(EOMONTH(A304,15)),NGT_TO!$AP$512:$AZ$512,0))/100,"-")</f>
        <v>-</v>
      </c>
      <c r="E304" s="61">
        <f t="shared" si="9"/>
        <v>133</v>
      </c>
      <c r="F304" s="61">
        <f t="shared" si="8"/>
        <v>361.34951341273307</v>
      </c>
    </row>
    <row r="305" spans="1:6 16384:16384">
      <c r="A305" s="68">
        <v>45474</v>
      </c>
      <c r="C305" s="37">
        <v>132.9</v>
      </c>
      <c r="D305" s="62" t="str">
        <f>IF(ISBLANK(C305),INDEX(NGT_TO!$AP$513:$AZ$513,MATCH(YEAR(EOMONTH(A305,15)),NGT_TO!$AP$512:$AZ$512,0))/100,"-")</f>
        <v>-</v>
      </c>
      <c r="E305" s="61">
        <f t="shared" si="9"/>
        <v>132.9</v>
      </c>
      <c r="F305" s="61">
        <f t="shared" si="8"/>
        <v>361.07782204926485</v>
      </c>
    </row>
    <row r="306" spans="1:6 16384:16384">
      <c r="A306" s="68">
        <v>45505</v>
      </c>
      <c r="C306" s="37">
        <v>133.4</v>
      </c>
      <c r="D306" s="62" t="str">
        <f>IF(ISBLANK(C306),INDEX(NGT_TO!$AP$513:$AZ$513,MATCH(YEAR(EOMONTH(A306,15)),NGT_TO!$AP$512:$AZ$512,0))/100,"-")</f>
        <v>-</v>
      </c>
      <c r="E306" s="61">
        <f t="shared" si="9"/>
        <v>133.4</v>
      </c>
      <c r="F306" s="61">
        <f t="shared" si="8"/>
        <v>362.43627886660596</v>
      </c>
    </row>
    <row r="307" spans="1:6 16384:16384">
      <c r="A307" s="68">
        <v>45536</v>
      </c>
      <c r="C307" s="37">
        <v>133.5</v>
      </c>
      <c r="D307" s="62" t="str">
        <f>IF(ISBLANK(C307),INDEX(NGT_TO!$AP$513:$AZ$513,MATCH(YEAR(EOMONTH(A307,15)),NGT_TO!$AP$512:$AZ$512,0))/100,"-")</f>
        <v>-</v>
      </c>
      <c r="E307" s="61">
        <f t="shared" si="9"/>
        <v>133.5</v>
      </c>
      <c r="F307" s="61">
        <f t="shared" si="8"/>
        <v>362.70797023007412</v>
      </c>
    </row>
    <row r="308" spans="1:6 16384:16384">
      <c r="A308" s="68">
        <v>45566</v>
      </c>
      <c r="C308" s="37">
        <v>134.30000000000001</v>
      </c>
      <c r="D308" s="62" t="str">
        <f>IF(ISBLANK(C308),INDEX(NGT_TO!$AP$513:$AZ$513,MATCH(YEAR(EOMONTH(A308,15)),NGT_TO!$AP$512:$AZ$512,0))/100,"-")</f>
        <v>-</v>
      </c>
      <c r="E308" s="61">
        <f t="shared" si="9"/>
        <v>134.30000000000001</v>
      </c>
      <c r="F308" s="61">
        <f t="shared" si="8"/>
        <v>364.88150113781995</v>
      </c>
    </row>
    <row r="309" spans="1:6 16384:16384">
      <c r="A309" s="68">
        <v>45597</v>
      </c>
      <c r="C309" s="37">
        <v>134.6</v>
      </c>
      <c r="D309" s="62" t="str">
        <f>IF(ISBLANK(C309),INDEX(NGT_TO!$AP$513:$AZ$513,MATCH(YEAR(EOMONTH(A309,15)),NGT_TO!$AP$512:$AZ$512,0))/100,"-")</f>
        <v>-</v>
      </c>
      <c r="E309" s="61">
        <f t="shared" si="9"/>
        <v>134.6</v>
      </c>
      <c r="F309" s="61">
        <f t="shared" si="8"/>
        <v>365.69657522822456</v>
      </c>
    </row>
    <row r="310" spans="1:6 16384:16384">
      <c r="A310" s="68">
        <v>45627</v>
      </c>
      <c r="C310" s="37">
        <v>135.1</v>
      </c>
      <c r="D310" s="62" t="str">
        <f>IF(ISBLANK(C310),INDEX(NGT_TO!$AP$513:$AZ$513,MATCH(YEAR(EOMONTH(A310,15)),NGT_TO!$AP$512:$AZ$512,0))/100,"-")</f>
        <v>-</v>
      </c>
      <c r="E310" s="61">
        <f t="shared" si="9"/>
        <v>135.1</v>
      </c>
      <c r="F310" s="61">
        <f t="shared" si="8"/>
        <v>367.05503204556567</v>
      </c>
    </row>
    <row r="311" spans="1:6 16384:16384">
      <c r="A311" s="68">
        <v>45658</v>
      </c>
      <c r="C311" s="37">
        <v>135.1</v>
      </c>
      <c r="D311" s="62" t="str">
        <f>IF(ISBLANK(C311),INDEX(NGT_TO!$AP$513:$AZ$513,MATCH(YEAR(EOMONTH(A311,15)),NGT_TO!$AP$512:$AZ$512,0))/100,"-")</f>
        <v>-</v>
      </c>
      <c r="E311" s="61">
        <f t="shared" si="9"/>
        <v>135.1</v>
      </c>
      <c r="F311" s="61">
        <f t="shared" si="8"/>
        <v>367.05503204556567</v>
      </c>
    </row>
    <row r="312" spans="1:6 16384:16384">
      <c r="A312" s="68">
        <v>45689</v>
      </c>
      <c r="C312" s="37">
        <v>135.6</v>
      </c>
      <c r="D312" s="62" t="str">
        <f>IF(ISBLANK(C312),INDEX(NGT_TO!$AP$513:$AZ$513,MATCH(YEAR(EOMONTH(A312,15)),NGT_TO!$AP$512:$AZ$512,0))/100,"-")</f>
        <v>-</v>
      </c>
      <c r="E312" s="61">
        <f t="shared" si="9"/>
        <v>135.6</v>
      </c>
      <c r="F312" s="61">
        <f t="shared" si="8"/>
        <v>368.41348886290677</v>
      </c>
    </row>
    <row r="313" spans="1:6 16384:16384">
      <c r="A313" s="68">
        <v>45717</v>
      </c>
      <c r="C313" s="37">
        <v>136.1</v>
      </c>
      <c r="D313" s="62" t="str">
        <f>IF(ISBLANK(C313),INDEX(NGT_TO!$AP$513:$AZ$513,MATCH(YEAR(EOMONTH(A313,15)),NGT_TO!$AP$512:$AZ$512,0))/100,"-")</f>
        <v>-</v>
      </c>
      <c r="E313" s="61">
        <f t="shared" si="9"/>
        <v>136.1</v>
      </c>
      <c r="F313" s="61">
        <f t="shared" si="8"/>
        <v>369.77194568024788</v>
      </c>
    </row>
    <row r="314" spans="1:6 16384:16384">
      <c r="A314" s="68">
        <v>45748</v>
      </c>
      <c r="C314" s="37">
        <v>137.69999999999999</v>
      </c>
      <c r="D314" s="62" t="str">
        <f>IF(ISBLANK(C314),INDEX(NGT_TO!$AP$513:$AZ$513,MATCH(YEAR(EOMONTH(A314,15)),NGT_TO!$AP$512:$AZ$512,0))/100,"-")</f>
        <v>-</v>
      </c>
      <c r="E314" s="61">
        <f t="shared" si="9"/>
        <v>137.69999999999999</v>
      </c>
      <c r="F314" s="61">
        <f t="shared" si="8"/>
        <v>374.11900749573937</v>
      </c>
    </row>
    <row r="315" spans="1:6 16384:16384">
      <c r="A315" s="68">
        <v>45778</v>
      </c>
      <c r="C315" s="37">
        <v>138</v>
      </c>
      <c r="D315" s="62" t="str">
        <f>IF(ISBLANK(C315),INDEX(NGT_TO!$AP$513:$AZ$513,MATCH(YEAR(EOMONTH(A315,15)),NGT_TO!$AP$512:$AZ$512,0))/100,"-")</f>
        <v>-</v>
      </c>
      <c r="E315" s="61">
        <f t="shared" si="9"/>
        <v>138</v>
      </c>
      <c r="F315" s="61">
        <f t="shared" si="8"/>
        <v>374.93408158614409</v>
      </c>
    </row>
    <row r="316" spans="1:6 16384:16384">
      <c r="A316" s="68">
        <v>45809</v>
      </c>
      <c r="C316" s="37">
        <v>138.4</v>
      </c>
      <c r="D316" s="62" t="str">
        <f>IF(ISBLANK(C316),INDEX(NGT_TO!$AP$513:$AZ$513,MATCH(YEAR(EOMONTH(A316,15)),NGT_TO!$AP$512:$AZ$512,0))/100,"-")</f>
        <v>-</v>
      </c>
      <c r="E316" s="61">
        <f t="shared" si="9"/>
        <v>138.4</v>
      </c>
      <c r="F316" s="61">
        <f t="shared" si="8"/>
        <v>376.02084704001697</v>
      </c>
      <c r="XFD316" s="258"/>
    </row>
    <row r="317" spans="1:6 16384:16384">
      <c r="A317" s="68">
        <v>45839</v>
      </c>
      <c r="C317" s="37">
        <v>138.5</v>
      </c>
      <c r="D317" s="62" t="str">
        <f>IF(ISBLANK(C317),INDEX(NGT_TO!$AP$513:$AZ$513,MATCH(YEAR(EOMONTH(A317,15)),NGT_TO!$AP$512:$AZ$512,0))/100,"-")</f>
        <v>-</v>
      </c>
      <c r="E317" s="61">
        <f t="shared" si="9"/>
        <v>138.5</v>
      </c>
      <c r="F317" s="61">
        <f t="shared" si="8"/>
        <v>376.29253840348514</v>
      </c>
      <c r="XFD317" s="258"/>
    </row>
    <row r="318" spans="1:6 16384:16384">
      <c r="A318" s="68">
        <v>45870</v>
      </c>
      <c r="C318" s="37">
        <v>138.9</v>
      </c>
      <c r="D318" s="62" t="str">
        <f>IF(ISBLANK(C318),INDEX(NGT_TO!$AP$513:$AZ$513,MATCH(YEAR(EOMONTH(A318,15)),NGT_TO!$AP$512:$AZ$512,0))/100,"-")</f>
        <v>-</v>
      </c>
      <c r="E318" s="61">
        <f t="shared" si="9"/>
        <v>138.9</v>
      </c>
      <c r="F318" s="61">
        <f t="shared" si="8"/>
        <v>377.37930385735802</v>
      </c>
      <c r="XFD318" s="258"/>
    </row>
    <row r="319" spans="1:6 16384:16384">
      <c r="A319" s="68">
        <v>45901</v>
      </c>
      <c r="C319" s="37">
        <v>138.9</v>
      </c>
      <c r="D319" s="62" t="str">
        <f>IF(ISBLANK(C319),INDEX(NGT_TO!$AP$513:$AZ$513,MATCH(YEAR(EOMONTH(A319,15)),NGT_TO!$AP$512:$AZ$512,0))/100,"-")</f>
        <v>-</v>
      </c>
      <c r="E319" s="61">
        <f t="shared" si="9"/>
        <v>138.9</v>
      </c>
      <c r="F319" s="61">
        <f t="shared" si="8"/>
        <v>377.37930385735802</v>
      </c>
      <c r="XFD319" s="258"/>
    </row>
    <row r="320" spans="1:6 16384:16384">
      <c r="A320" s="68">
        <v>45931</v>
      </c>
      <c r="C320" s="37"/>
      <c r="D320" s="62">
        <f>IF(ISBLANK(C320),INDEX(NGT_TO!$AP$513:$AZ$513,MATCH(YEAR(EOMONTH(A320,15)),NGT_TO!$AP$512:$AZ$512,0))/100,"-")</f>
        <v>2.3689382169692408E-2</v>
      </c>
      <c r="E320" s="61">
        <f t="shared" si="9"/>
        <v>139.17127168117926</v>
      </c>
      <c r="F320" s="61">
        <f t="shared" si="8"/>
        <v>378.11632558665713</v>
      </c>
      <c r="XFD320" s="258"/>
    </row>
    <row r="321" spans="1:6 16384:16384">
      <c r="A321" s="68">
        <v>45962</v>
      </c>
      <c r="C321" s="37"/>
      <c r="D321" s="62">
        <f>IF(ISBLANK(C321),INDEX(NGT_TO!$AP$513:$AZ$513,MATCH(YEAR(EOMONTH(A321,15)),NGT_TO!$AP$512:$AZ$512,0))/100,"-")</f>
        <v>2.3689382169692408E-2</v>
      </c>
      <c r="E321" s="61">
        <f t="shared" si="9"/>
        <v>139.44307315591513</v>
      </c>
      <c r="F321" s="61">
        <f t="shared" si="8"/>
        <v>378.85478671929371</v>
      </c>
      <c r="XFD321" s="258"/>
    </row>
    <row r="322" spans="1:6 16384:16384">
      <c r="A322" s="68">
        <v>45992</v>
      </c>
      <c r="C322" s="37"/>
      <c r="D322" s="62">
        <f>IF(ISBLANK(C322),INDEX(NGT_TO!$AP$513:$AZ$513,MATCH(YEAR(EOMONTH(A322,15)),NGT_TO!$AP$512:$AZ$512,0))/100,"-")</f>
        <v>2.3689382169692408E-2</v>
      </c>
      <c r="E322" s="61">
        <f t="shared" si="9"/>
        <v>139.71540545889431</v>
      </c>
      <c r="F322" s="61">
        <f t="shared" ref="F322:F385" si="10">IF(ISBLANK(B322),F321*(E322/E321),B322)</f>
        <v>379.59469006642229</v>
      </c>
      <c r="XFD322" s="258"/>
    </row>
    <row r="323" spans="1:6 16384:16384">
      <c r="A323" s="68">
        <v>46023</v>
      </c>
      <c r="C323" s="37"/>
      <c r="D323" s="62">
        <f>IF(ISBLANK(C323),INDEX(NGT_TO!$AP$513:$AZ$513,MATCH(YEAR(EOMONTH(A323,15)),NGT_TO!$AP$512:$AZ$512,0))/100,"-")</f>
        <v>2.3689382169692408E-2</v>
      </c>
      <c r="E323" s="61">
        <f t="shared" ref="E323:E385" si="11">IF(ISBLANK(C323),E322*((1+D323)^(1/12)),C323)</f>
        <v>139.98826962682432</v>
      </c>
      <c r="F323" s="61">
        <f t="shared" si="10"/>
        <v>380.33603844468752</v>
      </c>
      <c r="XFD323" s="258"/>
    </row>
    <row r="324" spans="1:6 16384:16384">
      <c r="A324" s="68">
        <v>46054</v>
      </c>
      <c r="C324" s="37"/>
      <c r="D324" s="62">
        <f>IF(ISBLANK(C324),INDEX(NGT_TO!$AP$513:$AZ$513,MATCH(YEAR(EOMONTH(A324,15)),NGT_TO!$AP$512:$AZ$512,0))/100,"-")</f>
        <v>2.3689382169692408E-2</v>
      </c>
      <c r="E324" s="61">
        <f t="shared" si="11"/>
        <v>140.26166669843732</v>
      </c>
      <c r="F324" s="61">
        <f t="shared" si="10"/>
        <v>381.07883467623509</v>
      </c>
      <c r="XFD324" s="258"/>
    </row>
    <row r="325" spans="1:6 16384:16384">
      <c r="A325" s="68">
        <v>46082</v>
      </c>
      <c r="C325" s="37"/>
      <c r="D325" s="62">
        <f>IF(ISBLANK(C325),INDEX(NGT_TO!$AP$513:$AZ$513,MATCH(YEAR(EOMONTH(A325,15)),NGT_TO!$AP$512:$AZ$512,0))/100,"-")</f>
        <v>2.3689382169692408E-2</v>
      </c>
      <c r="E325" s="61">
        <f t="shared" si="11"/>
        <v>140.53559771449414</v>
      </c>
      <c r="F325" s="61">
        <f t="shared" si="10"/>
        <v>381.82308158872218</v>
      </c>
      <c r="XFD325" s="258"/>
    </row>
    <row r="326" spans="1:6 16384:16384">
      <c r="A326" s="68">
        <v>46113</v>
      </c>
      <c r="C326" s="37"/>
      <c r="D326" s="62">
        <f>IF(ISBLANK(C326),INDEX(NGT_TO!$AP$513:$AZ$513,MATCH(YEAR(EOMONTH(A326,15)),NGT_TO!$AP$512:$AZ$512,0))/100,"-")</f>
        <v>2.3689382169692408E-2</v>
      </c>
      <c r="E326" s="61">
        <f t="shared" si="11"/>
        <v>140.81006371778821</v>
      </c>
      <c r="F326" s="61">
        <f t="shared" si="10"/>
        <v>382.56878201532851</v>
      </c>
    </row>
    <row r="327" spans="1:6 16384:16384">
      <c r="A327" s="68">
        <v>46143</v>
      </c>
      <c r="C327" s="37"/>
      <c r="D327" s="62">
        <f>IF(ISBLANK(C327),INDEX(NGT_TO!$AP$513:$AZ$513,MATCH(YEAR(EOMONTH(A327,15)),NGT_TO!$AP$512:$AZ$512,0))/100,"-")</f>
        <v>2.3689382169692408E-2</v>
      </c>
      <c r="E327" s="61">
        <f t="shared" si="11"/>
        <v>141.08506575314951</v>
      </c>
      <c r="F327" s="61">
        <f t="shared" si="10"/>
        <v>383.31593879476696</v>
      </c>
    </row>
    <row r="328" spans="1:6 16384:16384">
      <c r="A328" s="68">
        <v>46174</v>
      </c>
      <c r="C328" s="37"/>
      <c r="D328" s="62">
        <f>IF(ISBLANK(C328),INDEX(NGT_TO!$AP$513:$AZ$513,MATCH(YEAR(EOMONTH(A328,15)),NGT_TO!$AP$512:$AZ$512,0))/100,"-")</f>
        <v>2.3689382169692408E-2</v>
      </c>
      <c r="E328" s="61">
        <f t="shared" si="11"/>
        <v>141.36060486744861</v>
      </c>
      <c r="F328" s="61">
        <f t="shared" si="10"/>
        <v>384.06455477129447</v>
      </c>
    </row>
    <row r="329" spans="1:6 16384:16384">
      <c r="A329" s="68">
        <v>46204</v>
      </c>
      <c r="C329" s="37"/>
      <c r="D329" s="62">
        <f>IF(ISBLANK(C329),INDEX(NGT_TO!$AP$513:$AZ$513,MATCH(YEAR(EOMONTH(A329,15)),NGT_TO!$AP$512:$AZ$512,0))/100,"-")</f>
        <v>2.3689382169692408E-2</v>
      </c>
      <c r="E329" s="61">
        <f t="shared" si="11"/>
        <v>141.6366821096006</v>
      </c>
      <c r="F329" s="61">
        <f t="shared" si="10"/>
        <v>384.81463279472268</v>
      </c>
    </row>
    <row r="330" spans="1:6 16384:16384">
      <c r="A330" s="68">
        <v>46235</v>
      </c>
      <c r="C330" s="37"/>
      <c r="D330" s="62">
        <f>IF(ISBLANK(C330),INDEX(NGT_TO!$AP$513:$AZ$513,MATCH(YEAR(EOMONTH(A330,15)),NGT_TO!$AP$512:$AZ$512,0))/100,"-")</f>
        <v>2.3689382169692408E-2</v>
      </c>
      <c r="E330" s="61">
        <f t="shared" si="11"/>
        <v>141.91329853056911</v>
      </c>
      <c r="F330" s="61">
        <f t="shared" si="10"/>
        <v>385.56617572042899</v>
      </c>
    </row>
    <row r="331" spans="1:6 16384:16384">
      <c r="A331" s="68">
        <v>46266</v>
      </c>
      <c r="C331" s="37"/>
      <c r="D331" s="62">
        <f>IF(ISBLANK(C331),INDEX(NGT_TO!$AP$513:$AZ$513,MATCH(YEAR(EOMONTH(A331,15)),NGT_TO!$AP$512:$AZ$512,0))/100,"-")</f>
        <v>2.3689382169692408E-2</v>
      </c>
      <c r="E331" s="61">
        <f t="shared" si="11"/>
        <v>142.19045518337029</v>
      </c>
      <c r="F331" s="61">
        <f t="shared" si="10"/>
        <v>386.31918640936738</v>
      </c>
    </row>
    <row r="332" spans="1:6 16384:16384">
      <c r="A332" s="68">
        <v>46296</v>
      </c>
      <c r="C332" s="37"/>
      <c r="D332" s="62">
        <f>IF(ISBLANK(C332),INDEX(NGT_TO!$AP$513:$AZ$513,MATCH(YEAR(EOMONTH(A332,15)),NGT_TO!$AP$512:$AZ$512,0))/100,"-")</f>
        <v>2.1054516816467084E-2</v>
      </c>
      <c r="E332" s="61">
        <f t="shared" si="11"/>
        <v>142.437558884091</v>
      </c>
      <c r="F332" s="61">
        <f t="shared" si="10"/>
        <v>386.99054582303597</v>
      </c>
    </row>
    <row r="333" spans="1:6 16384:16384">
      <c r="A333" s="68">
        <v>46327</v>
      </c>
      <c r="C333" s="37"/>
      <c r="D333" s="62">
        <f>IF(ISBLANK(C333),INDEX(NGT_TO!$AP$513:$AZ$513,MATCH(YEAR(EOMONTH(A333,15)),NGT_TO!$AP$512:$AZ$512,0))/100,"-")</f>
        <v>2.1054516816467084E-2</v>
      </c>
      <c r="E333" s="61">
        <f t="shared" si="11"/>
        <v>142.68509201053396</v>
      </c>
      <c r="F333" s="61">
        <f t="shared" si="10"/>
        <v>387.66307194930431</v>
      </c>
    </row>
    <row r="334" spans="1:6 16384:16384">
      <c r="A334" s="68">
        <v>46357</v>
      </c>
      <c r="C334" s="37"/>
      <c r="D334" s="62">
        <f>IF(ISBLANK(C334),INDEX(NGT_TO!$AP$513:$AZ$513,MATCH(YEAR(EOMONTH(A334,15)),NGT_TO!$AP$512:$AZ$512,0))/100,"-")</f>
        <v>2.1054516816467084E-2</v>
      </c>
      <c r="E334" s="61">
        <f t="shared" si="11"/>
        <v>142.93305530897064</v>
      </c>
      <c r="F334" s="61">
        <f t="shared" si="10"/>
        <v>388.33676681572769</v>
      </c>
    </row>
    <row r="335" spans="1:6 16384:16384">
      <c r="A335" s="68">
        <v>46388</v>
      </c>
      <c r="C335" s="37"/>
      <c r="D335" s="62">
        <f>IF(ISBLANK(C335),INDEX(NGT_TO!$AP$513:$AZ$513,MATCH(YEAR(EOMONTH(A335,15)),NGT_TO!$AP$512:$AZ$512,0))/100,"-")</f>
        <v>2.1054516816467084E-2</v>
      </c>
      <c r="E335" s="61">
        <f t="shared" si="11"/>
        <v>143.18144952696943</v>
      </c>
      <c r="F335" s="61">
        <f t="shared" si="10"/>
        <v>389.01163245338483</v>
      </c>
    </row>
    <row r="336" spans="1:6 16384:16384">
      <c r="A336" s="68">
        <v>46419</v>
      </c>
      <c r="C336" s="37"/>
      <c r="D336" s="62">
        <f>IF(ISBLANK(C336),INDEX(NGT_TO!$AP$513:$AZ$513,MATCH(YEAR(EOMONTH(A336,15)),NGT_TO!$AP$512:$AZ$512,0))/100,"-")</f>
        <v>2.1054516816467084E-2</v>
      </c>
      <c r="E336" s="61">
        <f t="shared" si="11"/>
        <v>143.43027541339791</v>
      </c>
      <c r="F336" s="61">
        <f t="shared" si="10"/>
        <v>389.6876708968843</v>
      </c>
    </row>
    <row r="337" spans="1:6">
      <c r="A337" s="68">
        <v>46447</v>
      </c>
      <c r="C337" s="37"/>
      <c r="D337" s="62">
        <f>IF(ISBLANK(C337),INDEX(NGT_TO!$AP$513:$AZ$513,MATCH(YEAR(EOMONTH(A337,15)),NGT_TO!$AP$512:$AZ$512,0))/100,"-")</f>
        <v>2.1054516816467084E-2</v>
      </c>
      <c r="E337" s="61">
        <f t="shared" si="11"/>
        <v>143.67953371842503</v>
      </c>
      <c r="F337" s="61">
        <f t="shared" si="10"/>
        <v>390.36488418437028</v>
      </c>
    </row>
    <row r="338" spans="1:6">
      <c r="A338" s="68">
        <v>46478</v>
      </c>
      <c r="C338" s="37"/>
      <c r="D338" s="62">
        <f>IF(ISBLANK(C338),INDEX(NGT_TO!$AP$513:$AZ$513,MATCH(YEAR(EOMONTH(A338,15)),NGT_TO!$AP$512:$AZ$512,0))/100,"-")</f>
        <v>2.1054516816467084E-2</v>
      </c>
      <c r="E338" s="61">
        <f t="shared" si="11"/>
        <v>143.92922519352345</v>
      </c>
      <c r="F338" s="61">
        <f t="shared" si="10"/>
        <v>391.04327435752907</v>
      </c>
    </row>
    <row r="339" spans="1:6">
      <c r="A339" s="68">
        <v>46508</v>
      </c>
      <c r="C339" s="37"/>
      <c r="D339" s="62">
        <f>IF(ISBLANK(C339),INDEX(NGT_TO!$AP$513:$AZ$513,MATCH(YEAR(EOMONTH(A339,15)),NGT_TO!$AP$512:$AZ$512,0))/100,"-")</f>
        <v>2.1054516816467084E-2</v>
      </c>
      <c r="E339" s="61">
        <f t="shared" si="11"/>
        <v>144.17935059147172</v>
      </c>
      <c r="F339" s="61">
        <f t="shared" si="10"/>
        <v>391.72284346159506</v>
      </c>
    </row>
    <row r="340" spans="1:6">
      <c r="A340" s="68">
        <v>46539</v>
      </c>
      <c r="C340" s="37"/>
      <c r="D340" s="62">
        <f>IF(ISBLANK(C340),INDEX(NGT_TO!$AP$513:$AZ$513,MATCH(YEAR(EOMONTH(A340,15)),NGT_TO!$AP$512:$AZ$512,0))/100,"-")</f>
        <v>2.1054516816467084E-2</v>
      </c>
      <c r="E340" s="61">
        <f t="shared" si="11"/>
        <v>144.42991066635662</v>
      </c>
      <c r="F340" s="61">
        <f t="shared" si="10"/>
        <v>392.40359354535684</v>
      </c>
    </row>
    <row r="341" spans="1:6">
      <c r="A341" s="68">
        <v>46569</v>
      </c>
      <c r="C341" s="37"/>
      <c r="D341" s="62">
        <f>IF(ISBLANK(C341),INDEX(NGT_TO!$AP$513:$AZ$513,MATCH(YEAR(EOMONTH(A341,15)),NGT_TO!$AP$512:$AZ$512,0))/100,"-")</f>
        <v>2.1054516816467084E-2</v>
      </c>
      <c r="E341" s="61">
        <f t="shared" si="11"/>
        <v>144.68090617357541</v>
      </c>
      <c r="F341" s="61">
        <f t="shared" si="10"/>
        <v>393.08552666116356</v>
      </c>
    </row>
    <row r="342" spans="1:6">
      <c r="A342" s="68">
        <v>46600</v>
      </c>
      <c r="C342" s="37"/>
      <c r="D342" s="62">
        <f>IF(ISBLANK(C342),INDEX(NGT_TO!$AP$513:$AZ$513,MATCH(YEAR(EOMONTH(A342,15)),NGT_TO!$AP$512:$AZ$512,0))/100,"-")</f>
        <v>2.1054516816467084E-2</v>
      </c>
      <c r="E342" s="61">
        <f t="shared" si="11"/>
        <v>144.93233786983811</v>
      </c>
      <c r="F342" s="61">
        <f t="shared" si="10"/>
        <v>393.76864486493093</v>
      </c>
    </row>
    <row r="343" spans="1:6">
      <c r="A343" s="68">
        <v>46631</v>
      </c>
      <c r="C343" s="37"/>
      <c r="D343" s="62">
        <f>IF(ISBLANK(C343),INDEX(NGT_TO!$AP$513:$AZ$513,MATCH(YEAR(EOMONTH(A343,15)),NGT_TO!$AP$512:$AZ$512,0))/100,"-")</f>
        <v>2.1054516816467084E-2</v>
      </c>
      <c r="E343" s="61">
        <f t="shared" si="11"/>
        <v>145.18420651316976</v>
      </c>
      <c r="F343" s="61">
        <f t="shared" si="10"/>
        <v>394.4529502161476</v>
      </c>
    </row>
    <row r="344" spans="1:6">
      <c r="A344" s="68">
        <v>46661</v>
      </c>
      <c r="C344" s="37"/>
      <c r="D344" s="62">
        <f>IF(ISBLANK(C344),INDEX(NGT_TO!$AP$513:$AZ$513,MATCH(YEAR(EOMONTH(A344,15)),NGT_TO!$AP$512:$AZ$512,0))/100,"-")</f>
        <v>2.1285796243298183E-2</v>
      </c>
      <c r="E344" s="61">
        <f t="shared" si="11"/>
        <v>145.43925781769889</v>
      </c>
      <c r="F344" s="61">
        <f t="shared" si="10"/>
        <v>395.14590258296624</v>
      </c>
    </row>
    <row r="345" spans="1:6">
      <c r="A345" s="68">
        <v>46692</v>
      </c>
      <c r="C345" s="37"/>
      <c r="D345" s="62">
        <f>IF(ISBLANK(C345),INDEX(NGT_TO!$AP$513:$AZ$513,MATCH(YEAR(EOMONTH(A345,15)),NGT_TO!$AP$512:$AZ$512,0))/100,"-")</f>
        <v>2.1285796243298183E-2</v>
      </c>
      <c r="E345" s="61">
        <f t="shared" si="11"/>
        <v>145.69475718176221</v>
      </c>
      <c r="F345" s="61">
        <f t="shared" si="10"/>
        <v>395.84007228884252</v>
      </c>
    </row>
    <row r="346" spans="1:6">
      <c r="A346" s="68">
        <v>46722</v>
      </c>
      <c r="C346" s="37"/>
      <c r="D346" s="62">
        <f>IF(ISBLANK(C346),INDEX(NGT_TO!$AP$513:$AZ$513,MATCH(YEAR(EOMONTH(A346,15)),NGT_TO!$AP$512:$AZ$512,0))/100,"-")</f>
        <v>2.1285796243298183E-2</v>
      </c>
      <c r="E346" s="61">
        <f t="shared" si="11"/>
        <v>145.95070539248508</v>
      </c>
      <c r="F346" s="61">
        <f t="shared" si="10"/>
        <v>396.53546147232794</v>
      </c>
    </row>
    <row r="347" spans="1:6">
      <c r="A347" s="68">
        <v>46753</v>
      </c>
      <c r="C347" s="37"/>
      <c r="D347" s="62">
        <f>IF(ISBLANK(C347),INDEX(NGT_TO!$AP$513:$AZ$513,MATCH(YEAR(EOMONTH(A347,15)),NGT_TO!$AP$512:$AZ$512,0))/100,"-")</f>
        <v>2.1285796243298183E-2</v>
      </c>
      <c r="E347" s="61">
        <f t="shared" si="11"/>
        <v>146.20710323837559</v>
      </c>
      <c r="F347" s="61">
        <f t="shared" si="10"/>
        <v>397.23207227573101</v>
      </c>
    </row>
    <row r="348" spans="1:6">
      <c r="A348" s="68">
        <v>46784</v>
      </c>
      <c r="C348" s="37"/>
      <c r="D348" s="62">
        <f>IF(ISBLANK(C348),INDEX(NGT_TO!$AP$513:$AZ$513,MATCH(YEAR(EOMONTH(A348,15)),NGT_TO!$AP$512:$AZ$512,0))/100,"-")</f>
        <v>2.1285796243298183E-2</v>
      </c>
      <c r="E348" s="61">
        <f t="shared" si="11"/>
        <v>146.46395150932707</v>
      </c>
      <c r="F348" s="61">
        <f t="shared" si="10"/>
        <v>397.9299068451237</v>
      </c>
    </row>
    <row r="349" spans="1:6">
      <c r="A349" s="68">
        <v>46813</v>
      </c>
      <c r="C349" s="37"/>
      <c r="D349" s="62">
        <f>IF(ISBLANK(C349),INDEX(NGT_TO!$AP$513:$AZ$513,MATCH(YEAR(EOMONTH(A349,15)),NGT_TO!$AP$512:$AZ$512,0))/100,"-")</f>
        <v>2.1285796243298183E-2</v>
      </c>
      <c r="E349" s="61">
        <f t="shared" si="11"/>
        <v>146.72125099662051</v>
      </c>
      <c r="F349" s="61">
        <f t="shared" si="10"/>
        <v>398.62896733034802</v>
      </c>
    </row>
    <row r="350" spans="1:6">
      <c r="A350" s="68">
        <v>46844</v>
      </c>
      <c r="C350" s="37"/>
      <c r="D350" s="62">
        <f>IF(ISBLANK(C350),INDEX(NGT_TO!$AP$513:$AZ$513,MATCH(YEAR(EOMONTH(A350,15)),NGT_TO!$AP$512:$AZ$512,0))/100,"-")</f>
        <v>2.1285796243298183E-2</v>
      </c>
      <c r="E350" s="61">
        <f t="shared" si="11"/>
        <v>146.97900249292695</v>
      </c>
      <c r="F350" s="61">
        <f t="shared" si="10"/>
        <v>399.32925588502275</v>
      </c>
    </row>
    <row r="351" spans="1:6">
      <c r="A351" s="68">
        <v>46874</v>
      </c>
      <c r="C351" s="37"/>
      <c r="D351" s="62">
        <f>IF(ISBLANK(C351),INDEX(NGT_TO!$AP$513:$AZ$513,MATCH(YEAR(EOMONTH(A351,15)),NGT_TO!$AP$512:$AZ$512,0))/100,"-")</f>
        <v>2.1285796243298183E-2</v>
      </c>
      <c r="E351" s="61">
        <f t="shared" si="11"/>
        <v>147.23720679230996</v>
      </c>
      <c r="F351" s="61">
        <f t="shared" si="10"/>
        <v>400.03077466654997</v>
      </c>
    </row>
    <row r="352" spans="1:6">
      <c r="A352" s="68">
        <v>46905</v>
      </c>
      <c r="C352" s="37"/>
      <c r="D352" s="62">
        <f>IF(ISBLANK(C352),INDEX(NGT_TO!$AP$513:$AZ$513,MATCH(YEAR(EOMONTH(A352,15)),NGT_TO!$AP$512:$AZ$512,0))/100,"-")</f>
        <v>2.1285796243298183E-2</v>
      </c>
      <c r="E352" s="61">
        <f t="shared" si="11"/>
        <v>147.49586469022805</v>
      </c>
      <c r="F352" s="61">
        <f t="shared" si="10"/>
        <v>400.73352583612188</v>
      </c>
    </row>
    <row r="353" spans="1:6">
      <c r="A353" s="68">
        <v>46935</v>
      </c>
      <c r="C353" s="37"/>
      <c r="D353" s="62">
        <f>IF(ISBLANK(C353),INDEX(NGT_TO!$AP$513:$AZ$513,MATCH(YEAR(EOMONTH(A353,15)),NGT_TO!$AP$512:$AZ$512,0))/100,"-")</f>
        <v>2.1285796243298183E-2</v>
      </c>
      <c r="E353" s="61">
        <f t="shared" si="11"/>
        <v>147.75497698353718</v>
      </c>
      <c r="F353" s="61">
        <f t="shared" si="10"/>
        <v>401.43751155872724</v>
      </c>
    </row>
    <row r="354" spans="1:6">
      <c r="A354" s="68">
        <v>46966</v>
      </c>
      <c r="C354" s="37"/>
      <c r="D354" s="62">
        <f>IF(ISBLANK(C354),INDEX(NGT_TO!$AP$513:$AZ$513,MATCH(YEAR(EOMONTH(A354,15)),NGT_TO!$AP$512:$AZ$512,0))/100,"-")</f>
        <v>2.1285796243298183E-2</v>
      </c>
      <c r="E354" s="61">
        <f t="shared" si="11"/>
        <v>148.01454447049315</v>
      </c>
      <c r="F354" s="61">
        <f t="shared" si="10"/>
        <v>402.14273400315813</v>
      </c>
    </row>
    <row r="355" spans="1:6">
      <c r="A355" s="68">
        <v>46997</v>
      </c>
      <c r="C355" s="37"/>
      <c r="D355" s="62">
        <f>IF(ISBLANK(C355),INDEX(NGT_TO!$AP$513:$AZ$513,MATCH(YEAR(EOMONTH(A355,15)),NGT_TO!$AP$512:$AZ$512,0))/100,"-")</f>
        <v>2.1285796243298183E-2</v>
      </c>
      <c r="E355" s="61">
        <f t="shared" si="11"/>
        <v>148.27456795075412</v>
      </c>
      <c r="F355" s="61">
        <f t="shared" si="10"/>
        <v>402.84919534201669</v>
      </c>
    </row>
    <row r="356" spans="1:6">
      <c r="A356" s="68">
        <v>47027</v>
      </c>
      <c r="C356" s="37"/>
      <c r="D356" s="62">
        <f>IF(ISBLANK(C356),INDEX(NGT_TO!$AP$513:$AZ$513,MATCH(YEAR(EOMONTH(A356,15)),NGT_TO!$AP$512:$AZ$512,0))/100,"-")</f>
        <v>2.0983342920036119E-2</v>
      </c>
      <c r="E356" s="61">
        <f t="shared" si="11"/>
        <v>148.53138201215057</v>
      </c>
      <c r="F356" s="61">
        <f t="shared" si="10"/>
        <v>403.54693696700281</v>
      </c>
    </row>
    <row r="357" spans="1:6">
      <c r="A357" s="68">
        <v>47058</v>
      </c>
      <c r="C357" s="37"/>
      <c r="D357" s="62">
        <f>IF(ISBLANK(C357),INDEX(NGT_TO!$AP$513:$AZ$513,MATCH(YEAR(EOMONTH(A357,15)),NGT_TO!$AP$512:$AZ$512,0))/100,"-")</f>
        <v>2.0983342920036119E-2</v>
      </c>
      <c r="E357" s="61">
        <f t="shared" si="11"/>
        <v>148.7886408798482</v>
      </c>
      <c r="F357" s="61">
        <f t="shared" si="10"/>
        <v>404.2458870922934</v>
      </c>
    </row>
    <row r="358" spans="1:6">
      <c r="A358" s="68">
        <v>47088</v>
      </c>
      <c r="C358" s="37"/>
      <c r="D358" s="62">
        <f>IF(ISBLANK(C358),INDEX(NGT_TO!$AP$513:$AZ$513,MATCH(YEAR(EOMONTH(A358,15)),NGT_TO!$AP$512:$AZ$512,0))/100,"-")</f>
        <v>2.0983342920036119E-2</v>
      </c>
      <c r="E358" s="61">
        <f t="shared" si="11"/>
        <v>149.04634532425908</v>
      </c>
      <c r="F358" s="61">
        <f t="shared" si="10"/>
        <v>404.94604781103152</v>
      </c>
    </row>
    <row r="359" spans="1:6">
      <c r="A359" s="68">
        <v>47119</v>
      </c>
      <c r="C359" s="37"/>
      <c r="D359" s="62">
        <f>IF(ISBLANK(C359),INDEX(NGT_TO!$AP$513:$AZ$513,MATCH(YEAR(EOMONTH(A359,15)),NGT_TO!$AP$512:$AZ$512,0))/100,"-")</f>
        <v>2.0983342920036119E-2</v>
      </c>
      <c r="E359" s="61">
        <f t="shared" si="11"/>
        <v>149.30449611712959</v>
      </c>
      <c r="F359" s="61">
        <f t="shared" si="10"/>
        <v>405.64742121998546</v>
      </c>
    </row>
    <row r="360" spans="1:6">
      <c r="A360" s="68">
        <v>47150</v>
      </c>
      <c r="C360" s="37"/>
      <c r="D360" s="62">
        <f>IF(ISBLANK(C360),INDEX(NGT_TO!$AP$513:$AZ$513,MATCH(YEAR(EOMONTH(A360,15)),NGT_TO!$AP$512:$AZ$512,0))/100,"-")</f>
        <v>2.0983342920036119E-2</v>
      </c>
      <c r="E360" s="61">
        <f t="shared" si="11"/>
        <v>149.56309403154285</v>
      </c>
      <c r="F360" s="61">
        <f t="shared" si="10"/>
        <v>406.35000941955519</v>
      </c>
    </row>
    <row r="361" spans="1:6">
      <c r="A361" s="68">
        <v>47178</v>
      </c>
      <c r="C361" s="37"/>
      <c r="D361" s="62">
        <f>IF(ISBLANK(C361),INDEX(NGT_TO!$AP$513:$AZ$513,MATCH(YEAR(EOMONTH(A361,15)),NGT_TO!$AP$512:$AZ$512,0))/100,"-")</f>
        <v>2.0983342920036119E-2</v>
      </c>
      <c r="E361" s="61">
        <f t="shared" si="11"/>
        <v>149.82213984192092</v>
      </c>
      <c r="F361" s="61">
        <f t="shared" si="10"/>
        <v>407.05381451377866</v>
      </c>
    </row>
    <row r="362" spans="1:6">
      <c r="A362" s="68">
        <v>47209</v>
      </c>
      <c r="C362" s="37"/>
      <c r="D362" s="62">
        <f>IF(ISBLANK(C362),INDEX(NGT_TO!$AP$513:$AZ$513,MATCH(YEAR(EOMONTH(A362,15)),NGT_TO!$AP$512:$AZ$512,0))/100,"-")</f>
        <v>2.0983342920036119E-2</v>
      </c>
      <c r="E362" s="61">
        <f t="shared" si="11"/>
        <v>150.08163432402716</v>
      </c>
      <c r="F362" s="61">
        <f t="shared" si="10"/>
        <v>407.75883861033793</v>
      </c>
    </row>
    <row r="363" spans="1:6">
      <c r="A363" s="68">
        <v>47239</v>
      </c>
      <c r="C363" s="37"/>
      <c r="D363" s="62">
        <f>IF(ISBLANK(C363),INDEX(NGT_TO!$AP$513:$AZ$513,MATCH(YEAR(EOMONTH(A363,15)),NGT_TO!$AP$512:$AZ$512,0))/100,"-")</f>
        <v>2.0983342920036119E-2</v>
      </c>
      <c r="E363" s="61">
        <f t="shared" si="11"/>
        <v>150.34157825496865</v>
      </c>
      <c r="F363" s="61">
        <f t="shared" si="10"/>
        <v>408.46508382056572</v>
      </c>
    </row>
    <row r="364" spans="1:6">
      <c r="A364" s="68">
        <v>47270</v>
      </c>
      <c r="C364" s="37"/>
      <c r="D364" s="62">
        <f>IF(ISBLANK(C364),INDEX(NGT_TO!$AP$513:$AZ$513,MATCH(YEAR(EOMONTH(A364,15)),NGT_TO!$AP$512:$AZ$512,0))/100,"-")</f>
        <v>2.0983342920036119E-2</v>
      </c>
      <c r="E364" s="61">
        <f t="shared" si="11"/>
        <v>150.60197241319835</v>
      </c>
      <c r="F364" s="61">
        <f t="shared" si="10"/>
        <v>409.17255225945161</v>
      </c>
    </row>
    <row r="365" spans="1:6">
      <c r="A365" s="68">
        <v>47300</v>
      </c>
      <c r="C365" s="37"/>
      <c r="D365" s="62">
        <f>IF(ISBLANK(C365),INDEX(NGT_TO!$AP$513:$AZ$513,MATCH(YEAR(EOMONTH(A365,15)),NGT_TO!$AP$512:$AZ$512,0))/100,"-")</f>
        <v>2.0983342920036119E-2</v>
      </c>
      <c r="E365" s="61">
        <f t="shared" si="11"/>
        <v>150.86281757851756</v>
      </c>
      <c r="F365" s="61">
        <f t="shared" si="10"/>
        <v>409.88124604564831</v>
      </c>
    </row>
    <row r="366" spans="1:6">
      <c r="A366" s="68">
        <v>47331</v>
      </c>
      <c r="C366" s="37"/>
      <c r="D366" s="62">
        <f>IF(ISBLANK(C366),INDEX(NGT_TO!$AP$513:$AZ$513,MATCH(YEAR(EOMONTH(A366,15)),NGT_TO!$AP$512:$AZ$512,0))/100,"-")</f>
        <v>2.0983342920036119E-2</v>
      </c>
      <c r="E366" s="61">
        <f t="shared" si="11"/>
        <v>151.12411453207818</v>
      </c>
      <c r="F366" s="61">
        <f t="shared" si="10"/>
        <v>410.59116730147809</v>
      </c>
    </row>
    <row r="367" spans="1:6">
      <c r="A367" s="68">
        <v>47362</v>
      </c>
      <c r="C367" s="37"/>
      <c r="D367" s="62">
        <f>IF(ISBLANK(C367),INDEX(NGT_TO!$AP$513:$AZ$513,MATCH(YEAR(EOMONTH(A367,15)),NGT_TO!$AP$512:$AZ$512,0))/100,"-")</f>
        <v>2.0983342920036119E-2</v>
      </c>
      <c r="E367" s="61">
        <f t="shared" si="11"/>
        <v>151.38586405638512</v>
      </c>
      <c r="F367" s="61">
        <f t="shared" si="10"/>
        <v>411.30231815293916</v>
      </c>
    </row>
    <row r="368" spans="1:6">
      <c r="A368" s="68">
        <v>47392</v>
      </c>
      <c r="C368" s="37"/>
      <c r="D368" s="62">
        <f>IF(ISBLANK(C368),INDEX(NGT_TO!$AP$513:$AZ$513,MATCH(YEAR(EOMONTH(A368,15)),NGT_TO!$AP$512:$AZ$512,0))/100,"-")</f>
        <v>2.1355060506057066E-2</v>
      </c>
      <c r="E368" s="61">
        <f t="shared" si="11"/>
        <v>151.65266714494703</v>
      </c>
      <c r="F368" s="61">
        <f t="shared" si="10"/>
        <v>412.02719910202831</v>
      </c>
    </row>
    <row r="369" spans="1:6">
      <c r="A369" s="68">
        <v>47423</v>
      </c>
      <c r="C369" s="37"/>
      <c r="D369" s="62">
        <f>IF(ISBLANK(C369),INDEX(NGT_TO!$AP$513:$AZ$513,MATCH(YEAR(EOMONTH(A369,15)),NGT_TO!$AP$512:$AZ$512,0))/100,"-")</f>
        <v>2.1355060506057066E-2</v>
      </c>
      <c r="E369" s="61">
        <f t="shared" si="11"/>
        <v>151.91994044840322</v>
      </c>
      <c r="F369" s="61">
        <f t="shared" si="10"/>
        <v>412.75335758437501</v>
      </c>
    </row>
    <row r="370" spans="1:6">
      <c r="A370" s="68">
        <v>47453</v>
      </c>
      <c r="C370" s="37"/>
      <c r="D370" s="62">
        <f>IF(ISBLANK(C370),INDEX(NGT_TO!$AP$513:$AZ$513,MATCH(YEAR(EOMONTH(A370,15)),NGT_TO!$AP$512:$AZ$512,0))/100,"-")</f>
        <v>2.1355060506057066E-2</v>
      </c>
      <c r="E370" s="61">
        <f t="shared" si="11"/>
        <v>152.18768479546245</v>
      </c>
      <c r="F370" s="61">
        <f t="shared" si="10"/>
        <v>413.4807958515093</v>
      </c>
    </row>
    <row r="371" spans="1:6">
      <c r="A371" s="68">
        <v>47484</v>
      </c>
      <c r="C371" s="37"/>
      <c r="D371" s="62">
        <f>IF(ISBLANK(C371),INDEX(NGT_TO!$AP$513:$AZ$513,MATCH(YEAR(EOMONTH(A371,15)),NGT_TO!$AP$512:$AZ$512,0))/100,"-")</f>
        <v>2.1355060506057066E-2</v>
      </c>
      <c r="E371" s="61">
        <f t="shared" si="11"/>
        <v>152.45590101629395</v>
      </c>
      <c r="F371" s="61">
        <f t="shared" si="10"/>
        <v>414.20951615892932</v>
      </c>
    </row>
    <row r="372" spans="1:6">
      <c r="A372" s="68">
        <v>47515</v>
      </c>
      <c r="C372" s="37"/>
      <c r="D372" s="62">
        <f>IF(ISBLANK(C372),INDEX(NGT_TO!$AP$513:$AZ$513,MATCH(YEAR(EOMONTH(A372,15)),NGT_TO!$AP$512:$AZ$512,0))/100,"-")</f>
        <v>2.1355060506057066E-2</v>
      </c>
      <c r="E372" s="61">
        <f t="shared" si="11"/>
        <v>152.72458994253006</v>
      </c>
      <c r="F372" s="61">
        <f t="shared" si="10"/>
        <v>414.93952076610833</v>
      </c>
    </row>
    <row r="373" spans="1:6">
      <c r="A373" s="68">
        <v>47543</v>
      </c>
      <c r="C373" s="37"/>
      <c r="D373" s="62">
        <f>IF(ISBLANK(C373),INDEX(NGT_TO!$AP$513:$AZ$513,MATCH(YEAR(EOMONTH(A373,15)),NGT_TO!$AP$512:$AZ$512,0))/100,"-")</f>
        <v>2.1355060506057066E-2</v>
      </c>
      <c r="E373" s="61">
        <f t="shared" si="11"/>
        <v>152.99375240726877</v>
      </c>
      <c r="F373" s="61">
        <f t="shared" si="10"/>
        <v>415.67081193650159</v>
      </c>
    </row>
    <row r="374" spans="1:6">
      <c r="A374" s="68">
        <v>47574</v>
      </c>
      <c r="C374" s="37"/>
      <c r="D374" s="62">
        <f>IF(ISBLANK(C374),INDEX(NGT_TO!$AP$513:$AZ$513,MATCH(YEAR(EOMONTH(A374,15)),NGT_TO!$AP$512:$AZ$512,0))/100,"-")</f>
        <v>2.1355060506057066E-2</v>
      </c>
      <c r="E374" s="61">
        <f t="shared" si="11"/>
        <v>153.26338924507635</v>
      </c>
      <c r="F374" s="61">
        <f t="shared" si="10"/>
        <v>416.40339193755364</v>
      </c>
    </row>
    <row r="375" spans="1:6">
      <c r="A375" s="68">
        <v>47604</v>
      </c>
      <c r="C375" s="37"/>
      <c r="D375" s="62">
        <f>IF(ISBLANK(C375),INDEX(NGT_TO!$AP$513:$AZ$513,MATCH(YEAR(EOMONTH(A375,15)),NGT_TO!$AP$512:$AZ$512,0))/100,"-")</f>
        <v>2.1355060506057066E-2</v>
      </c>
      <c r="E375" s="61">
        <f t="shared" si="11"/>
        <v>153.53350129198992</v>
      </c>
      <c r="F375" s="61">
        <f t="shared" si="10"/>
        <v>417.13726304070508</v>
      </c>
    </row>
    <row r="376" spans="1:6">
      <c r="A376" s="68">
        <v>47635</v>
      </c>
      <c r="C376" s="37"/>
      <c r="D376" s="62">
        <f>IF(ISBLANK(C376),INDEX(NGT_TO!$AP$513:$AZ$513,MATCH(YEAR(EOMONTH(A376,15)),NGT_TO!$AP$512:$AZ$512,0))/100,"-")</f>
        <v>2.1355060506057066E-2</v>
      </c>
      <c r="E376" s="61">
        <f t="shared" si="11"/>
        <v>153.80408938552003</v>
      </c>
      <c r="F376" s="61">
        <f t="shared" si="10"/>
        <v>417.87242752139969</v>
      </c>
    </row>
    <row r="377" spans="1:6">
      <c r="A377" s="68">
        <v>47665</v>
      </c>
      <c r="C377" s="37"/>
      <c r="D377" s="62">
        <f>IF(ISBLANK(C377),INDEX(NGT_TO!$AP$513:$AZ$513,MATCH(YEAR(EOMONTH(A377,15)),NGT_TO!$AP$512:$AZ$512,0))/100,"-")</f>
        <v>2.1355060506057066E-2</v>
      </c>
      <c r="E377" s="61">
        <f t="shared" si="11"/>
        <v>154.07515436465323</v>
      </c>
      <c r="F377" s="61">
        <f t="shared" si="10"/>
        <v>418.60888765909158</v>
      </c>
    </row>
    <row r="378" spans="1:6">
      <c r="A378" s="68">
        <v>47696</v>
      </c>
      <c r="C378" s="37"/>
      <c r="D378" s="62">
        <f>IF(ISBLANK(C378),INDEX(NGT_TO!$AP$513:$AZ$513,MATCH(YEAR(EOMONTH(A378,15)),NGT_TO!$AP$512:$AZ$512,0))/100,"-")</f>
        <v>2.1355060506057066E-2</v>
      </c>
      <c r="E378" s="61">
        <f t="shared" si="11"/>
        <v>154.34669706985474</v>
      </c>
      <c r="F378" s="61">
        <f t="shared" si="10"/>
        <v>419.34664573725212</v>
      </c>
    </row>
    <row r="379" spans="1:6">
      <c r="A379" s="68">
        <v>47727</v>
      </c>
      <c r="C379" s="37"/>
      <c r="D379" s="62">
        <f>IF(ISBLANK(C379),INDEX(NGT_TO!$AP$513:$AZ$513,MATCH(YEAR(EOMONTH(A379,15)),NGT_TO!$AP$512:$AZ$512,0))/100,"-")</f>
        <v>2.1355060506057066E-2</v>
      </c>
      <c r="E379" s="61">
        <f t="shared" si="11"/>
        <v>154.61871834307104</v>
      </c>
      <c r="F379" s="61">
        <f t="shared" si="10"/>
        <v>420.08570404337706</v>
      </c>
    </row>
    <row r="380" spans="1:6">
      <c r="A380" s="68">
        <v>47757</v>
      </c>
      <c r="C380" s="37"/>
      <c r="D380" s="62">
        <f>IF(ISBLANK(C380),INDEX(NGT_TO!$AP$513:$AZ$513,MATCH(YEAR(EOMONTH(A380,15)),NGT_TO!$AP$512:$AZ$512,0))/100,"-")</f>
        <v>2.1355060506057066E-2</v>
      </c>
      <c r="E380" s="61">
        <f t="shared" si="11"/>
        <v>154.89121902773238</v>
      </c>
      <c r="F380" s="61">
        <f t="shared" si="10"/>
        <v>420.82606486899368</v>
      </c>
    </row>
    <row r="381" spans="1:6">
      <c r="A381" s="68">
        <v>47788</v>
      </c>
      <c r="C381" s="37"/>
      <c r="D381" s="62">
        <f>IF(ISBLANK(C381),INDEX(NGT_TO!$AP$513:$AZ$513,MATCH(YEAR(EOMONTH(A381,15)),NGT_TO!$AP$512:$AZ$512,0))/100,"-")</f>
        <v>2.1355060506057066E-2</v>
      </c>
      <c r="E381" s="61">
        <f t="shared" si="11"/>
        <v>155.16419996875555</v>
      </c>
      <c r="F381" s="61">
        <f t="shared" si="10"/>
        <v>421.56773050966791</v>
      </c>
    </row>
    <row r="382" spans="1:6">
      <c r="A382" s="68">
        <v>47818</v>
      </c>
      <c r="C382" s="37"/>
      <c r="D382" s="62">
        <f>IF(ISBLANK(C382),INDEX(NGT_TO!$AP$513:$AZ$513,MATCH(YEAR(EOMONTH(A382,15)),NGT_TO!$AP$512:$AZ$512,0))/100,"-")</f>
        <v>2.1355060506057066E-2</v>
      </c>
      <c r="E382" s="61">
        <f t="shared" si="11"/>
        <v>155.43766201254638</v>
      </c>
      <c r="F382" s="61">
        <f t="shared" si="10"/>
        <v>422.31070326501128</v>
      </c>
    </row>
    <row r="383" spans="1:6">
      <c r="A383" s="68">
        <v>47849</v>
      </c>
      <c r="C383" s="37"/>
      <c r="D383" s="62">
        <f>IF(ISBLANK(C383),INDEX(NGT_TO!$AP$513:$AZ$513,MATCH(YEAR(EOMONTH(A383,15)),NGT_TO!$AP$512:$AZ$512,0))/100,"-")</f>
        <v>2.1355060506057066E-2</v>
      </c>
      <c r="E383" s="61">
        <f t="shared" si="11"/>
        <v>155.71160600700244</v>
      </c>
      <c r="F383" s="61">
        <f t="shared" si="10"/>
        <v>423.05498543868828</v>
      </c>
    </row>
    <row r="384" spans="1:6">
      <c r="A384" s="68">
        <v>47880</v>
      </c>
      <c r="C384" s="37"/>
      <c r="D384" s="62">
        <f>IF(ISBLANK(C384),INDEX(NGT_TO!$AP$513:$AZ$513,MATCH(YEAR(EOMONTH(A384,15)),NGT_TO!$AP$512:$AZ$512,0))/100,"-")</f>
        <v>2.1355060506057066E-2</v>
      </c>
      <c r="E384" s="61">
        <f t="shared" si="11"/>
        <v>155.98603280151562</v>
      </c>
      <c r="F384" s="61">
        <f t="shared" si="10"/>
        <v>423.80057933842329</v>
      </c>
    </row>
    <row r="385" spans="1:6">
      <c r="A385" s="68">
        <v>47908</v>
      </c>
      <c r="C385" s="37"/>
      <c r="D385" s="62">
        <f>IF(ISBLANK(C385),INDEX(NGT_TO!$AP$513:$AZ$513,MATCH(YEAR(EOMONTH(A385,15)),NGT_TO!$AP$512:$AZ$512,0))/100,"-")</f>
        <v>2.1355060506057066E-2</v>
      </c>
      <c r="E385" s="61">
        <f t="shared" si="11"/>
        <v>156.26094324697479</v>
      </c>
      <c r="F385" s="61">
        <f t="shared" si="10"/>
        <v>424.54748727600787</v>
      </c>
    </row>
    <row r="386" spans="1:6"/>
    <row r="387" spans="1:6" ht="20" thickBot="1">
      <c r="A387" s="20" t="s">
        <v>111</v>
      </c>
    </row>
    <row r="388" spans="1:6" ht="15" thickTop="1"/>
    <row r="389" spans="1:6"/>
  </sheetData>
  <pageMargins left="0.7" right="0.7" top="0.75" bottom="0.75" header="0.3" footer="0.3"/>
  <pageSetup paperSize="9" orientation="portrait" r:id="rId1"/>
  <headerFooter>
    <oddFooter>&amp;L_x000D_&amp;1#&amp;"Aptos"&amp;10&amp;K000000 National Gas | Business Use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56183E-3CB3-42D1-BF79-2273F92989B8}">
  <sheetPr codeName="Sheet2">
    <tabColor rgb="FFFFFFCC"/>
    <pageSetUpPr autoPageBreaks="0" fitToPage="1"/>
  </sheetPr>
  <dimension ref="A1:BM603"/>
  <sheetViews>
    <sheetView tabSelected="1" zoomScale="60" zoomScaleNormal="60" workbookViewId="0">
      <pane xSplit="10" ySplit="4" topLeftCell="AS499" activePane="bottomRight" state="frozen"/>
      <selection pane="topRight" activeCell="K1" sqref="K1"/>
      <selection pane="bottomLeft" activeCell="A5" sqref="A5"/>
      <selection pane="bottomRight" activeCell="AU524" sqref="AU524"/>
    </sheetView>
  </sheetViews>
  <sheetFormatPr defaultColWidth="0" defaultRowHeight="16" zeroHeight="1" outlineLevelCol="1"/>
  <cols>
    <col min="1" max="2" width="1.81640625" style="8" customWidth="1"/>
    <col min="3" max="3" width="1.81640625" customWidth="1"/>
    <col min="4" max="4" width="15.7265625" customWidth="1"/>
    <col min="5" max="5" width="77.26953125" style="43" customWidth="1"/>
    <col min="6" max="6" width="8.7265625" style="43" customWidth="1"/>
    <col min="7" max="7" width="17.7265625" style="43" customWidth="1"/>
    <col min="8" max="8" width="9.7265625" style="43" customWidth="1"/>
    <col min="9" max="9" width="11.7265625" style="43" customWidth="1"/>
    <col min="10" max="10" width="2.08984375" style="43" customWidth="1"/>
    <col min="11" max="45" width="11.7265625" style="43" customWidth="1" outlineLevel="1"/>
    <col min="46" max="46" width="11.7265625" style="76" customWidth="1"/>
    <col min="47" max="51" width="11.7265625" style="43" customWidth="1"/>
    <col min="52" max="52" width="28.7265625" style="43" customWidth="1"/>
    <col min="53" max="56" width="10.7265625" style="44" customWidth="1"/>
    <col min="57" max="57" width="10.7265625" style="43" customWidth="1"/>
    <col min="58" max="58" width="1.7265625" style="8" customWidth="1"/>
    <col min="59" max="59" width="12.08984375" style="8" hidden="1" customWidth="1"/>
    <col min="60" max="60" width="16" style="8" hidden="1" customWidth="1"/>
    <col min="61" max="63" width="12.08984375" style="8" hidden="1" customWidth="1"/>
    <col min="64" max="65" width="1.81640625" style="8" hidden="1" customWidth="1"/>
    <col min="66" max="16384" width="10.26953125" style="8" hidden="1"/>
  </cols>
  <sheetData>
    <row r="1" spans="1:56" s="119" customFormat="1" ht="14.5">
      <c r="A1" s="118" t="str" cm="1">
        <f t="array" aca="1" ref="A1" ca="1">MID(CELL("filename",$A$1),FIND("]",CELL("filename",$A$1))+1,255)</f>
        <v>NGT_TO</v>
      </c>
      <c r="G1" s="119" t="s">
        <v>515</v>
      </c>
      <c r="H1" s="38" t="str">
        <f ca="1">Checks!I7</f>
        <v>ERROR</v>
      </c>
      <c r="AT1" s="120"/>
      <c r="BA1" s="121"/>
    </row>
    <row r="2" spans="1:56" s="119" customFormat="1" ht="14.5">
      <c r="AT2" s="120"/>
      <c r="BA2" s="121"/>
    </row>
    <row r="3" spans="1:56" s="119" customFormat="1" ht="14.5">
      <c r="E3" s="119" t="s">
        <v>0</v>
      </c>
      <c r="F3" s="119" t="s">
        <v>1</v>
      </c>
      <c r="G3" s="119" t="s">
        <v>2</v>
      </c>
      <c r="H3" s="119" t="s">
        <v>3</v>
      </c>
      <c r="I3" s="119" t="s">
        <v>4</v>
      </c>
      <c r="AT3" s="120"/>
      <c r="AU3" s="119" t="s">
        <v>5</v>
      </c>
      <c r="BA3" s="121"/>
    </row>
    <row r="4" spans="1:56" s="119" customFormat="1" ht="14.5">
      <c r="E4" s="119" t="s">
        <v>6</v>
      </c>
      <c r="K4" s="122">
        <v>33328</v>
      </c>
      <c r="L4" s="122">
        <v>33694</v>
      </c>
      <c r="M4" s="122">
        <v>34059</v>
      </c>
      <c r="N4" s="122">
        <v>34424</v>
      </c>
      <c r="O4" s="122">
        <v>34789</v>
      </c>
      <c r="P4" s="122">
        <v>35155</v>
      </c>
      <c r="Q4" s="122">
        <v>35520</v>
      </c>
      <c r="R4" s="122">
        <v>35885</v>
      </c>
      <c r="S4" s="122">
        <v>36250</v>
      </c>
      <c r="T4" s="122">
        <v>36616</v>
      </c>
      <c r="U4" s="122">
        <v>36981</v>
      </c>
      <c r="V4" s="122">
        <v>37346</v>
      </c>
      <c r="W4" s="122">
        <v>37711</v>
      </c>
      <c r="X4" s="122">
        <v>38077</v>
      </c>
      <c r="Y4" s="122">
        <v>38442</v>
      </c>
      <c r="Z4" s="122">
        <v>38807</v>
      </c>
      <c r="AA4" s="122">
        <v>39172</v>
      </c>
      <c r="AB4" s="122">
        <v>39538</v>
      </c>
      <c r="AC4" s="122">
        <v>39903</v>
      </c>
      <c r="AD4" s="122">
        <v>40268</v>
      </c>
      <c r="AE4" s="122">
        <v>40633</v>
      </c>
      <c r="AF4" s="122">
        <v>40999</v>
      </c>
      <c r="AG4" s="122">
        <v>41364</v>
      </c>
      <c r="AH4" s="122">
        <v>41729</v>
      </c>
      <c r="AI4" s="122">
        <v>42094</v>
      </c>
      <c r="AJ4" s="122">
        <v>42460</v>
      </c>
      <c r="AK4" s="122">
        <v>42825</v>
      </c>
      <c r="AL4" s="122">
        <v>43190</v>
      </c>
      <c r="AM4" s="122">
        <v>43555</v>
      </c>
      <c r="AN4" s="122">
        <v>43921</v>
      </c>
      <c r="AO4" s="122">
        <v>44286</v>
      </c>
      <c r="AP4" s="122">
        <v>44651</v>
      </c>
      <c r="AQ4" s="122">
        <v>45016</v>
      </c>
      <c r="AR4" s="122">
        <v>45382</v>
      </c>
      <c r="AS4" s="122">
        <v>45747</v>
      </c>
      <c r="AT4" s="123">
        <v>46112</v>
      </c>
      <c r="AU4" s="122">
        <v>46477</v>
      </c>
      <c r="AV4" s="122">
        <v>46843</v>
      </c>
      <c r="AW4" s="122">
        <v>47208</v>
      </c>
      <c r="AX4" s="122">
        <v>47573</v>
      </c>
      <c r="AY4" s="122">
        <v>47938</v>
      </c>
      <c r="BA4" s="121" t="s">
        <v>527</v>
      </c>
      <c r="BB4" s="121" t="s">
        <v>528</v>
      </c>
      <c r="BC4" s="121" t="s">
        <v>529</v>
      </c>
      <c r="BD4" s="121" t="s">
        <v>530</v>
      </c>
    </row>
    <row r="5" spans="1:56"/>
    <row r="6" spans="1:56" ht="20" thickBot="1">
      <c r="A6" s="10" t="s">
        <v>7</v>
      </c>
    </row>
    <row r="7" spans="1:56" ht="18" thickTop="1" thickBot="1">
      <c r="B7" s="11" t="s">
        <v>8</v>
      </c>
    </row>
    <row r="8" spans="1:56" ht="17" thickTop="1" thickBot="1">
      <c r="C8" s="12" t="s">
        <v>9</v>
      </c>
    </row>
    <row r="9" spans="1:56" ht="16.5">
      <c r="E9" s="43" t="s">
        <v>982</v>
      </c>
      <c r="G9" s="43" t="str">
        <f t="shared" ref="G9:G14" si="0">price_label</f>
        <v>£m 23/24 prices</v>
      </c>
      <c r="H9" s="48" t="s">
        <v>988</v>
      </c>
      <c r="AU9" s="161">
        <v>6.083254347769862</v>
      </c>
      <c r="AV9" s="161">
        <v>8.0254791671583572</v>
      </c>
      <c r="AW9" s="161">
        <v>6.7819269838536229</v>
      </c>
      <c r="AX9" s="161">
        <v>9.3493801699930099</v>
      </c>
      <c r="AY9" s="161">
        <v>9.295886368293079</v>
      </c>
      <c r="BA9" s="44" t="str">
        <f ca="1">$A$1</f>
        <v>NGT_TO</v>
      </c>
      <c r="BB9" s="44" t="str">
        <f t="shared" ref="BB9:BB14" si="1">$A$6</f>
        <v>Variable inputs</v>
      </c>
      <c r="BC9" s="44" t="str">
        <f t="shared" ref="BC9:BC14" si="2">$B$7</f>
        <v>Actual totex</v>
      </c>
      <c r="BD9" s="44" t="str">
        <f t="shared" ref="BD9:BD14" si="3">$C$8</f>
        <v>Capitalisation rate 1</v>
      </c>
    </row>
    <row r="10" spans="1:56" ht="16.5">
      <c r="E10" s="43" t="s">
        <v>983</v>
      </c>
      <c r="G10" s="43" t="str">
        <f t="shared" si="0"/>
        <v>£m 23/24 prices</v>
      </c>
      <c r="H10" s="48" t="s">
        <v>989</v>
      </c>
      <c r="AU10" s="161">
        <v>172.29588285899504</v>
      </c>
      <c r="AV10" s="161">
        <v>164.5799390109743</v>
      </c>
      <c r="AW10" s="161">
        <v>220.58340546594692</v>
      </c>
      <c r="AX10" s="161">
        <v>205.11278702970912</v>
      </c>
      <c r="AY10" s="161">
        <v>252.22369404902341</v>
      </c>
      <c r="BA10" s="44" t="str">
        <f t="shared" ref="BA10:BA533" ca="1" si="4">$A$1</f>
        <v>NGT_TO</v>
      </c>
      <c r="BB10" s="44" t="str">
        <f t="shared" si="1"/>
        <v>Variable inputs</v>
      </c>
      <c r="BC10" s="44" t="str">
        <f t="shared" si="2"/>
        <v>Actual totex</v>
      </c>
      <c r="BD10" s="44" t="str">
        <f t="shared" si="3"/>
        <v>Capitalisation rate 1</v>
      </c>
    </row>
    <row r="11" spans="1:56" ht="16.5">
      <c r="E11" s="43" t="s">
        <v>984</v>
      </c>
      <c r="G11" s="43" t="str">
        <f t="shared" si="0"/>
        <v>£m 23/24 prices</v>
      </c>
      <c r="H11" s="48" t="s">
        <v>990</v>
      </c>
      <c r="AU11" s="161">
        <v>68.265749816546759</v>
      </c>
      <c r="AV11" s="161">
        <v>74.609207266144622</v>
      </c>
      <c r="AW11" s="161">
        <v>66.609324763270081</v>
      </c>
      <c r="AX11" s="161">
        <v>56.859805367227835</v>
      </c>
      <c r="AY11" s="161">
        <v>51.682832774284691</v>
      </c>
      <c r="BA11" s="44" t="str">
        <f t="shared" ca="1" si="4"/>
        <v>NGT_TO</v>
      </c>
      <c r="BB11" s="44" t="str">
        <f t="shared" si="1"/>
        <v>Variable inputs</v>
      </c>
      <c r="BC11" s="44" t="str">
        <f t="shared" si="2"/>
        <v>Actual totex</v>
      </c>
      <c r="BD11" s="44" t="str">
        <f t="shared" si="3"/>
        <v>Capitalisation rate 1</v>
      </c>
    </row>
    <row r="12" spans="1:56" ht="16.5">
      <c r="E12" s="43" t="s">
        <v>985</v>
      </c>
      <c r="G12" s="43" t="str">
        <f t="shared" si="0"/>
        <v>£m 23/24 prices</v>
      </c>
      <c r="H12" s="48" t="s">
        <v>991</v>
      </c>
      <c r="AU12" s="161">
        <v>71.573252627557736</v>
      </c>
      <c r="AV12" s="161">
        <v>69.953466893277351</v>
      </c>
      <c r="AW12" s="161">
        <v>45.035692186239004</v>
      </c>
      <c r="AX12" s="161">
        <v>33.716872944441441</v>
      </c>
      <c r="AY12" s="161">
        <v>35.08490894999445</v>
      </c>
      <c r="BA12" s="44" t="str">
        <f t="shared" ca="1" si="4"/>
        <v>NGT_TO</v>
      </c>
      <c r="BB12" s="44" t="str">
        <f t="shared" si="1"/>
        <v>Variable inputs</v>
      </c>
      <c r="BC12" s="44" t="str">
        <f t="shared" si="2"/>
        <v>Actual totex</v>
      </c>
      <c r="BD12" s="44" t="str">
        <f t="shared" si="3"/>
        <v>Capitalisation rate 1</v>
      </c>
    </row>
    <row r="13" spans="1:56" ht="16.5">
      <c r="E13" s="43" t="s">
        <v>986</v>
      </c>
      <c r="G13" s="43" t="str">
        <f t="shared" si="0"/>
        <v>£m 23/24 prices</v>
      </c>
      <c r="H13" s="48" t="s">
        <v>992</v>
      </c>
      <c r="AU13" s="161">
        <v>60.339907194756591</v>
      </c>
      <c r="AV13" s="161">
        <v>61.137649679373752</v>
      </c>
      <c r="AW13" s="161">
        <v>62.10549627488848</v>
      </c>
      <c r="AX13" s="161">
        <v>63.338082086671037</v>
      </c>
      <c r="AY13" s="161">
        <v>64.373997120249683</v>
      </c>
      <c r="BA13" s="44" t="str">
        <f t="shared" ca="1" si="4"/>
        <v>NGT_TO</v>
      </c>
      <c r="BB13" s="44" t="str">
        <f t="shared" si="1"/>
        <v>Variable inputs</v>
      </c>
      <c r="BC13" s="44" t="str">
        <f t="shared" si="2"/>
        <v>Actual totex</v>
      </c>
      <c r="BD13" s="44" t="str">
        <f t="shared" si="3"/>
        <v>Capitalisation rate 1</v>
      </c>
    </row>
    <row r="14" spans="1:56" ht="16.5">
      <c r="E14" s="43" t="s">
        <v>987</v>
      </c>
      <c r="G14" s="43" t="str">
        <f t="shared" si="0"/>
        <v>£m 23/24 prices</v>
      </c>
      <c r="H14" s="48" t="s">
        <v>993</v>
      </c>
      <c r="AU14" s="161">
        <v>152.06127240811392</v>
      </c>
      <c r="AV14" s="161">
        <v>156.04061876018005</v>
      </c>
      <c r="AW14" s="161">
        <v>156.63421359875252</v>
      </c>
      <c r="AX14" s="161">
        <v>146.57553265002804</v>
      </c>
      <c r="AY14" s="161">
        <v>142.55772155829581</v>
      </c>
      <c r="BA14" s="44" t="str">
        <f t="shared" ca="1" si="4"/>
        <v>NGT_TO</v>
      </c>
      <c r="BB14" s="44" t="str">
        <f t="shared" si="1"/>
        <v>Variable inputs</v>
      </c>
      <c r="BC14" s="44" t="str">
        <f t="shared" si="2"/>
        <v>Actual totex</v>
      </c>
      <c r="BD14" s="44" t="str">
        <f t="shared" si="3"/>
        <v>Capitalisation rate 1</v>
      </c>
    </row>
    <row r="15" spans="1:56">
      <c r="H15" s="48"/>
    </row>
    <row r="16" spans="1:56" ht="16.5" thickBot="1">
      <c r="C16" s="12" t="s">
        <v>11</v>
      </c>
      <c r="H16" s="48"/>
    </row>
    <row r="17" spans="2:56" ht="16.5">
      <c r="E17" s="43" t="s">
        <v>982</v>
      </c>
      <c r="G17" s="43" t="str">
        <f t="shared" ref="G17:G22" si="5">price_label</f>
        <v>£m 23/24 prices</v>
      </c>
      <c r="H17" s="48" t="s">
        <v>994</v>
      </c>
      <c r="N17"/>
      <c r="AU17" s="161">
        <v>0</v>
      </c>
      <c r="AV17" s="161">
        <v>0</v>
      </c>
      <c r="AW17" s="161">
        <v>4.1438633008999997</v>
      </c>
      <c r="AX17" s="161">
        <v>5.5312558833999992</v>
      </c>
      <c r="AY17" s="161">
        <v>8.7157826651000008</v>
      </c>
      <c r="BA17" s="44" t="str">
        <f t="shared" ca="1" si="4"/>
        <v>NGT_TO</v>
      </c>
      <c r="BB17" s="44" t="str">
        <f t="shared" ref="BB17:BB22" si="6">$A$6</f>
        <v>Variable inputs</v>
      </c>
      <c r="BC17" s="44" t="str">
        <f t="shared" ref="BC17:BC22" si="7">$B$7</f>
        <v>Actual totex</v>
      </c>
      <c r="BD17" s="44" t="str">
        <f t="shared" ref="BD17:BD22" si="8">$C$16</f>
        <v>Capitalisation rate 2</v>
      </c>
    </row>
    <row r="18" spans="2:56" ht="16.5">
      <c r="E18" s="43" t="s">
        <v>983</v>
      </c>
      <c r="G18" s="43" t="str">
        <f t="shared" si="5"/>
        <v>£m 23/24 prices</v>
      </c>
      <c r="H18" s="48" t="s">
        <v>995</v>
      </c>
      <c r="AU18" s="161">
        <v>268.41056601925101</v>
      </c>
      <c r="AV18" s="161">
        <v>485.52581923988947</v>
      </c>
      <c r="AW18" s="161">
        <v>469.30809664339171</v>
      </c>
      <c r="AX18" s="161">
        <v>262.41109171892725</v>
      </c>
      <c r="AY18" s="161">
        <v>188.88912319488645</v>
      </c>
      <c r="BA18" s="44" t="str">
        <f t="shared" ca="1" si="4"/>
        <v>NGT_TO</v>
      </c>
      <c r="BB18" s="44" t="str">
        <f t="shared" si="6"/>
        <v>Variable inputs</v>
      </c>
      <c r="BC18" s="44" t="str">
        <f t="shared" si="7"/>
        <v>Actual totex</v>
      </c>
      <c r="BD18" s="44" t="str">
        <f t="shared" si="8"/>
        <v>Capitalisation rate 2</v>
      </c>
    </row>
    <row r="19" spans="2:56" ht="16.5">
      <c r="E19" s="43" t="s">
        <v>984</v>
      </c>
      <c r="G19" s="43" t="str">
        <f t="shared" si="5"/>
        <v>£m 23/24 prices</v>
      </c>
      <c r="H19" s="48" t="s">
        <v>996</v>
      </c>
      <c r="AU19" s="161">
        <v>57.471227195496752</v>
      </c>
      <c r="AV19" s="161">
        <v>31.945362644606096</v>
      </c>
      <c r="AW19" s="161">
        <v>50.682355952122684</v>
      </c>
      <c r="AX19" s="161">
        <v>20.390050887908291</v>
      </c>
      <c r="AY19" s="161">
        <v>0</v>
      </c>
      <c r="BA19" s="44" t="str">
        <f t="shared" ca="1" si="4"/>
        <v>NGT_TO</v>
      </c>
      <c r="BB19" s="44" t="str">
        <f t="shared" si="6"/>
        <v>Variable inputs</v>
      </c>
      <c r="BC19" s="44" t="str">
        <f t="shared" si="7"/>
        <v>Actual totex</v>
      </c>
      <c r="BD19" s="44" t="str">
        <f t="shared" si="8"/>
        <v>Capitalisation rate 2</v>
      </c>
    </row>
    <row r="20" spans="2:56" ht="16.5">
      <c r="E20" s="43" t="s">
        <v>985</v>
      </c>
      <c r="G20" s="43" t="str">
        <f t="shared" si="5"/>
        <v>£m 23/24 prices</v>
      </c>
      <c r="H20" s="48" t="s">
        <v>997</v>
      </c>
      <c r="AU20" s="161">
        <v>3.9774560287488208</v>
      </c>
      <c r="AV20" s="161">
        <v>15.031516864081985</v>
      </c>
      <c r="AW20" s="161">
        <v>26.03780420456145</v>
      </c>
      <c r="AX20" s="161">
        <v>6.6426575517922135</v>
      </c>
      <c r="AY20" s="161">
        <v>0.41059197630307315</v>
      </c>
      <c r="BA20" s="44" t="str">
        <f t="shared" ca="1" si="4"/>
        <v>NGT_TO</v>
      </c>
      <c r="BB20" s="44" t="str">
        <f t="shared" si="6"/>
        <v>Variable inputs</v>
      </c>
      <c r="BC20" s="44" t="str">
        <f t="shared" si="7"/>
        <v>Actual totex</v>
      </c>
      <c r="BD20" s="44" t="str">
        <f t="shared" si="8"/>
        <v>Capitalisation rate 2</v>
      </c>
    </row>
    <row r="21" spans="2:56" ht="16.5">
      <c r="E21" s="43" t="s">
        <v>986</v>
      </c>
      <c r="G21" s="43" t="str">
        <f t="shared" si="5"/>
        <v>£m 23/24 prices</v>
      </c>
      <c r="H21" s="48" t="s">
        <v>998</v>
      </c>
      <c r="AU21" s="161">
        <v>3.1556000000000002</v>
      </c>
      <c r="AV21" s="161">
        <v>1.7542</v>
      </c>
      <c r="AW21" s="161">
        <v>1.7542</v>
      </c>
      <c r="AX21" s="161">
        <v>0</v>
      </c>
      <c r="AY21" s="161">
        <v>0</v>
      </c>
      <c r="BA21" s="44" t="str">
        <f t="shared" ca="1" si="4"/>
        <v>NGT_TO</v>
      </c>
      <c r="BB21" s="44" t="str">
        <f t="shared" si="6"/>
        <v>Variable inputs</v>
      </c>
      <c r="BC21" s="44" t="str">
        <f t="shared" si="7"/>
        <v>Actual totex</v>
      </c>
      <c r="BD21" s="44" t="str">
        <f t="shared" si="8"/>
        <v>Capitalisation rate 2</v>
      </c>
    </row>
    <row r="22" spans="2:56" ht="16.5">
      <c r="E22" s="43" t="s">
        <v>987</v>
      </c>
      <c r="G22" s="43" t="str">
        <f t="shared" si="5"/>
        <v>£m 23/24 prices</v>
      </c>
      <c r="H22" s="48" t="s">
        <v>999</v>
      </c>
      <c r="AU22" s="161">
        <v>0</v>
      </c>
      <c r="AV22" s="161">
        <v>0</v>
      </c>
      <c r="AW22" s="161">
        <v>0.32661128015910845</v>
      </c>
      <c r="AX22" s="161">
        <v>3.4747581661517151</v>
      </c>
      <c r="AY22" s="161">
        <v>2.4230976443476799</v>
      </c>
      <c r="BA22" s="44" t="str">
        <f t="shared" ca="1" si="4"/>
        <v>NGT_TO</v>
      </c>
      <c r="BB22" s="44" t="str">
        <f t="shared" si="6"/>
        <v>Variable inputs</v>
      </c>
      <c r="BC22" s="44" t="str">
        <f t="shared" si="7"/>
        <v>Actual totex</v>
      </c>
      <c r="BD22" s="44" t="str">
        <f t="shared" si="8"/>
        <v>Capitalisation rate 2</v>
      </c>
    </row>
    <row r="23" spans="2:56"/>
    <row r="24" spans="2:56" ht="17.5" thickBot="1">
      <c r="B24" s="11" t="s">
        <v>624</v>
      </c>
    </row>
    <row r="25" spans="2:56" ht="16.5" thickTop="1">
      <c r="E25" s="43" t="s">
        <v>625</v>
      </c>
      <c r="G25" s="43" t="str">
        <f>price_label</f>
        <v>£m 23/24 prices</v>
      </c>
      <c r="AH25"/>
      <c r="AI25"/>
      <c r="AJ25"/>
      <c r="AK25"/>
      <c r="AL25"/>
      <c r="AM25"/>
      <c r="AS25"/>
      <c r="AT25" s="77"/>
      <c r="AU25" s="161">
        <v>0</v>
      </c>
      <c r="AV25" s="28">
        <v>0</v>
      </c>
      <c r="AW25" s="28">
        <v>0</v>
      </c>
      <c r="AX25" s="28">
        <v>0</v>
      </c>
      <c r="AY25" s="28">
        <v>0</v>
      </c>
      <c r="BA25" s="44" t="str">
        <f t="shared" ref="BA25:BA575" ca="1" si="9">$A$1</f>
        <v>NGT_TO</v>
      </c>
      <c r="BB25" s="44" t="str">
        <f>$A$125</f>
        <v>Fixed Inputs</v>
      </c>
      <c r="BC25" s="44" t="str">
        <f>$B$447</f>
        <v>RAV and assets</v>
      </c>
      <c r="BD25" s="44" t="str">
        <f>$C$453</f>
        <v>Post-vesting assets</v>
      </c>
    </row>
    <row r="26" spans="2:56">
      <c r="AU26"/>
      <c r="AV26"/>
      <c r="AW26"/>
      <c r="AX26"/>
      <c r="AY26"/>
    </row>
    <row r="27" spans="2:56" ht="17.5" thickBot="1">
      <c r="B27" s="11" t="s">
        <v>12</v>
      </c>
      <c r="G27"/>
    </row>
    <row r="28" spans="2:56" ht="17" thickTop="1">
      <c r="E28" s="43" t="s">
        <v>14</v>
      </c>
      <c r="F28" s="43" t="s">
        <v>13</v>
      </c>
      <c r="G28" s="43" t="str">
        <f>nominal</f>
        <v>£m nominal</v>
      </c>
      <c r="H28" s="48" t="s">
        <v>1000</v>
      </c>
      <c r="AU28" s="161">
        <v>105.72887625</v>
      </c>
      <c r="AV28" s="161">
        <v>119.6</v>
      </c>
      <c r="AW28" s="161">
        <v>122.7</v>
      </c>
      <c r="AX28" s="161">
        <v>125.28518847153352</v>
      </c>
      <c r="AY28" s="161">
        <v>127.95584471276554</v>
      </c>
      <c r="BA28" s="44" t="str">
        <f t="shared" ca="1" si="4"/>
        <v>NGT_TO</v>
      </c>
      <c r="BB28" s="44" t="str">
        <f t="shared" ref="BB28:BB35" si="10">$A$6</f>
        <v>Variable inputs</v>
      </c>
      <c r="BC28" s="44" t="str">
        <f t="shared" ref="BC28:BC35" si="11">$B$27</f>
        <v>Pass-through costs</v>
      </c>
    </row>
    <row r="29" spans="2:56" ht="16.5">
      <c r="E29" s="43" t="s">
        <v>249</v>
      </c>
      <c r="F29" s="43" t="s">
        <v>13</v>
      </c>
      <c r="G29" s="43" t="str">
        <f>nominal</f>
        <v>£m nominal</v>
      </c>
      <c r="H29" s="48" t="s">
        <v>1001</v>
      </c>
      <c r="AU29" s="161">
        <v>43.168132025446241</v>
      </c>
      <c r="AV29" s="161">
        <v>44.090228072180473</v>
      </c>
      <c r="AW29" s="161">
        <v>45.025711143665731</v>
      </c>
      <c r="AX29" s="161">
        <v>45.974365987766809</v>
      </c>
      <c r="AY29" s="161">
        <v>46.954383889003495</v>
      </c>
      <c r="BA29" s="44" t="str">
        <f t="shared" ca="1" si="4"/>
        <v>NGT_TO</v>
      </c>
      <c r="BB29" s="44" t="str">
        <f t="shared" si="10"/>
        <v>Variable inputs</v>
      </c>
      <c r="BC29" s="44" t="str">
        <f t="shared" si="11"/>
        <v>Pass-through costs</v>
      </c>
    </row>
    <row r="30" spans="2:56" ht="16.5">
      <c r="E30" s="43" t="s">
        <v>784</v>
      </c>
      <c r="F30" s="43" t="s">
        <v>13</v>
      </c>
      <c r="G30" s="43" t="str">
        <f>price_label</f>
        <v>£m 23/24 prices</v>
      </c>
      <c r="H30" s="48" t="s">
        <v>1002</v>
      </c>
      <c r="AU30" s="161">
        <v>-8</v>
      </c>
      <c r="AV30" s="28">
        <v>0</v>
      </c>
      <c r="AW30" s="28">
        <v>0</v>
      </c>
      <c r="AX30" s="28">
        <v>0</v>
      </c>
      <c r="AY30" s="28">
        <v>0</v>
      </c>
      <c r="BA30" s="44" t="str">
        <f t="shared" ca="1" si="4"/>
        <v>NGT_TO</v>
      </c>
      <c r="BB30" s="44" t="str">
        <f t="shared" si="10"/>
        <v>Variable inputs</v>
      </c>
      <c r="BC30" s="44" t="str">
        <f t="shared" si="11"/>
        <v>Pass-through costs</v>
      </c>
    </row>
    <row r="31" spans="2:56" ht="16.5">
      <c r="E31" s="43" t="s">
        <v>250</v>
      </c>
      <c r="F31" s="43" t="s">
        <v>13</v>
      </c>
      <c r="G31" s="43" t="str">
        <f>nominal</f>
        <v>£m nominal</v>
      </c>
      <c r="H31" s="48" t="s">
        <v>1003</v>
      </c>
      <c r="AU31" s="161">
        <v>27.224</v>
      </c>
      <c r="AV31" s="161">
        <v>28.022768300060498</v>
      </c>
      <c r="AW31" s="161">
        <v>28.844972935603714</v>
      </c>
      <c r="AX31" s="161">
        <v>29.691301542607214</v>
      </c>
      <c r="AY31" s="161">
        <v>30.562461932695811</v>
      </c>
      <c r="BA31" s="44" t="str">
        <f t="shared" ca="1" si="4"/>
        <v>NGT_TO</v>
      </c>
      <c r="BB31" s="44" t="str">
        <f t="shared" si="10"/>
        <v>Variable inputs</v>
      </c>
      <c r="BC31" s="44" t="str">
        <f t="shared" si="11"/>
        <v>Pass-through costs</v>
      </c>
    </row>
    <row r="32" spans="2:56" ht="16.5">
      <c r="E32" s="43" t="s">
        <v>785</v>
      </c>
      <c r="F32" s="43" t="s">
        <v>629</v>
      </c>
      <c r="G32" s="43" t="str">
        <f>nominal</f>
        <v>£m nominal</v>
      </c>
      <c r="H32" s="48" t="s">
        <v>1004</v>
      </c>
      <c r="AU32" s="161">
        <v>9.5485772595290701</v>
      </c>
      <c r="AV32" s="161">
        <v>10.200767114947693</v>
      </c>
      <c r="AW32" s="161">
        <v>10.944309713697859</v>
      </c>
      <c r="AX32" s="161">
        <v>11.723555224395922</v>
      </c>
      <c r="AY32" s="161">
        <v>12.571165888355244</v>
      </c>
      <c r="BA32" s="44" t="str">
        <f t="shared" ca="1" si="4"/>
        <v>NGT_TO</v>
      </c>
      <c r="BB32" s="44" t="str">
        <f t="shared" si="10"/>
        <v>Variable inputs</v>
      </c>
      <c r="BC32" s="44" t="str">
        <f t="shared" si="11"/>
        <v>Pass-through costs</v>
      </c>
    </row>
    <row r="33" spans="2:55" ht="16.5">
      <c r="E33" s="43" t="s">
        <v>251</v>
      </c>
      <c r="F33" s="43" t="s">
        <v>13</v>
      </c>
      <c r="G33" s="43" t="str">
        <f>nominal</f>
        <v>£m nominal</v>
      </c>
      <c r="H33" s="48" t="s">
        <v>1005</v>
      </c>
      <c r="AU33" s="161">
        <v>0</v>
      </c>
      <c r="AV33" s="28">
        <v>0</v>
      </c>
      <c r="AW33" s="28">
        <v>0</v>
      </c>
      <c r="AX33" s="28">
        <v>0</v>
      </c>
      <c r="AY33" s="28">
        <v>0</v>
      </c>
      <c r="BA33" s="44" t="str">
        <f t="shared" ca="1" si="4"/>
        <v>NGT_TO</v>
      </c>
      <c r="BB33" s="44" t="str">
        <f t="shared" si="10"/>
        <v>Variable inputs</v>
      </c>
      <c r="BC33" s="44" t="str">
        <f t="shared" si="11"/>
        <v>Pass-through costs</v>
      </c>
    </row>
    <row r="34" spans="2:55" ht="16.5">
      <c r="E34" s="43" t="s">
        <v>252</v>
      </c>
      <c r="F34" s="43" t="s">
        <v>13</v>
      </c>
      <c r="G34" s="43" t="str">
        <f>nominal</f>
        <v>£m nominal</v>
      </c>
      <c r="H34" s="48" t="s">
        <v>1006</v>
      </c>
      <c r="AU34" s="161">
        <v>-0.65355825999999995</v>
      </c>
      <c r="AV34" s="28">
        <v>0</v>
      </c>
      <c r="AW34" s="28">
        <v>0</v>
      </c>
      <c r="AX34" s="28">
        <v>0</v>
      </c>
      <c r="AY34" s="28">
        <v>0</v>
      </c>
      <c r="BA34" s="44" t="str">
        <f t="shared" ca="1" si="4"/>
        <v>NGT_TO</v>
      </c>
      <c r="BB34" s="44" t="str">
        <f t="shared" si="10"/>
        <v>Variable inputs</v>
      </c>
      <c r="BC34" s="44" t="str">
        <f t="shared" si="11"/>
        <v>Pass-through costs</v>
      </c>
    </row>
    <row r="35" spans="2:55" ht="29">
      <c r="E35" s="47" t="s">
        <v>1009</v>
      </c>
      <c r="F35" s="43" t="s">
        <v>13</v>
      </c>
      <c r="G35" s="43" t="str">
        <f>price_label</f>
        <v>£m 23/24 prices</v>
      </c>
      <c r="H35" s="48" t="s">
        <v>1007</v>
      </c>
      <c r="AU35" s="161">
        <v>0</v>
      </c>
      <c r="AV35" s="28">
        <v>0</v>
      </c>
      <c r="AW35" s="28">
        <v>0</v>
      </c>
      <c r="AX35" s="28">
        <v>0</v>
      </c>
      <c r="AY35" s="28">
        <v>0</v>
      </c>
      <c r="BA35" s="44" t="str">
        <f t="shared" ca="1" si="4"/>
        <v>NGT_TO</v>
      </c>
      <c r="BB35" s="44" t="str">
        <f t="shared" si="10"/>
        <v>Variable inputs</v>
      </c>
      <c r="BC35" s="44" t="str">
        <f t="shared" si="11"/>
        <v>Pass-through costs</v>
      </c>
    </row>
    <row r="36" spans="2:55"/>
    <row r="37" spans="2:55" ht="17.5" thickBot="1">
      <c r="B37" s="11" t="s">
        <v>15</v>
      </c>
    </row>
    <row r="38" spans="2:55" ht="17" thickTop="1">
      <c r="E38" s="43" t="s">
        <v>786</v>
      </c>
      <c r="F38" s="43" t="s">
        <v>16</v>
      </c>
      <c r="G38" s="43" t="str">
        <f>price_label</f>
        <v>£m 23/24 prices</v>
      </c>
      <c r="H38" s="48" t="s">
        <v>1010</v>
      </c>
      <c r="AU38" s="161">
        <v>0</v>
      </c>
      <c r="AV38" s="28">
        <v>0</v>
      </c>
      <c r="AW38" s="28">
        <v>0</v>
      </c>
      <c r="AX38" s="28">
        <v>0</v>
      </c>
      <c r="AY38" s="28">
        <v>0</v>
      </c>
      <c r="BA38" s="44" t="str">
        <f t="shared" ca="1" si="4"/>
        <v>NGT_TO</v>
      </c>
      <c r="BB38" s="44" t="str">
        <f>$A$6</f>
        <v>Variable inputs</v>
      </c>
      <c r="BC38" s="44" t="str">
        <f>$B$37</f>
        <v>Incentive revenue</v>
      </c>
    </row>
    <row r="39" spans="2:55"/>
    <row r="40" spans="2:55" ht="17.5" thickBot="1">
      <c r="B40" s="11" t="s">
        <v>17</v>
      </c>
      <c r="G40"/>
    </row>
    <row r="41" spans="2:55" ht="17" thickTop="1">
      <c r="E41" s="43" t="s">
        <v>253</v>
      </c>
      <c r="F41" s="43" t="s">
        <v>18</v>
      </c>
      <c r="G41" s="43" t="str">
        <f t="shared" ref="G41:G46" si="12">price_label</f>
        <v>£m 23/24 prices</v>
      </c>
      <c r="H41" s="48" t="s">
        <v>1013</v>
      </c>
      <c r="AU41" s="161">
        <v>4.2939999999999996</v>
      </c>
      <c r="AV41" s="161">
        <v>4.2939999999999996</v>
      </c>
      <c r="AW41" s="161">
        <v>4.2939999999999996</v>
      </c>
      <c r="AX41" s="161">
        <v>4.2939999999999996</v>
      </c>
      <c r="AY41" s="161">
        <v>4.2939999999999996</v>
      </c>
      <c r="BA41" s="44" t="str">
        <f t="shared" ca="1" si="4"/>
        <v>NGT_TO</v>
      </c>
      <c r="BB41" s="44" t="str">
        <f t="shared" ref="BB41:BB46" si="13">$A$6</f>
        <v>Variable inputs</v>
      </c>
      <c r="BC41" s="44" t="str">
        <f t="shared" ref="BC41:BC46" si="14">$B$40</f>
        <v>Other revenue allowances</v>
      </c>
    </row>
    <row r="42" spans="2:55" ht="16.5">
      <c r="E42" s="43" t="s">
        <v>1011</v>
      </c>
      <c r="F42" s="43" t="s">
        <v>19</v>
      </c>
      <c r="G42" s="43" t="str">
        <f t="shared" si="12"/>
        <v>£m 23/24 prices</v>
      </c>
      <c r="H42" s="48" t="s">
        <v>1014</v>
      </c>
      <c r="AU42" s="161">
        <v>0</v>
      </c>
      <c r="AV42" s="28">
        <v>0</v>
      </c>
      <c r="AW42" s="28">
        <v>0</v>
      </c>
      <c r="AX42" s="28">
        <v>0</v>
      </c>
      <c r="AY42" s="28">
        <v>0</v>
      </c>
      <c r="BA42" s="44" t="str">
        <f t="shared" ca="1" si="4"/>
        <v>NGT_TO</v>
      </c>
      <c r="BB42" s="44" t="str">
        <f t="shared" si="13"/>
        <v>Variable inputs</v>
      </c>
      <c r="BC42" s="44" t="str">
        <f t="shared" si="14"/>
        <v>Other revenue allowances</v>
      </c>
    </row>
    <row r="43" spans="2:55" ht="16.5">
      <c r="E43" s="43" t="s">
        <v>254</v>
      </c>
      <c r="F43" s="43" t="s">
        <v>628</v>
      </c>
      <c r="G43" s="43" t="str">
        <f t="shared" si="12"/>
        <v>£m 23/24 prices</v>
      </c>
      <c r="H43" s="48" t="s">
        <v>1132</v>
      </c>
      <c r="AU43" s="161">
        <v>-3.002809955217292</v>
      </c>
      <c r="AV43" s="161">
        <v>2.884568808048773</v>
      </c>
      <c r="AW43" s="161">
        <v>2.0706399186250275</v>
      </c>
      <c r="AX43" s="161">
        <v>1.9813376593574412</v>
      </c>
      <c r="AY43" s="161">
        <v>1.6462774576859374</v>
      </c>
      <c r="BA43" s="44" t="str">
        <f t="shared" ca="1" si="4"/>
        <v>NGT_TO</v>
      </c>
      <c r="BB43" s="44" t="str">
        <f t="shared" si="13"/>
        <v>Variable inputs</v>
      </c>
      <c r="BC43" s="44" t="str">
        <f t="shared" si="14"/>
        <v>Other revenue allowances</v>
      </c>
    </row>
    <row r="44" spans="2:55" ht="16.5">
      <c r="E44" s="43" t="s">
        <v>787</v>
      </c>
      <c r="F44" s="43" t="s">
        <v>771</v>
      </c>
      <c r="G44" s="43" t="str">
        <f t="shared" si="12"/>
        <v>£m 23/24 prices</v>
      </c>
      <c r="H44" s="48" t="s">
        <v>1015</v>
      </c>
      <c r="AU44" s="161">
        <v>0</v>
      </c>
      <c r="AV44" s="28">
        <v>0</v>
      </c>
      <c r="AW44" s="28">
        <v>0</v>
      </c>
      <c r="AX44" s="28">
        <v>0</v>
      </c>
      <c r="AY44" s="28">
        <v>0</v>
      </c>
      <c r="BA44" s="44" t="str">
        <f t="shared" ca="1" si="4"/>
        <v>NGT_TO</v>
      </c>
      <c r="BB44" s="44" t="str">
        <f t="shared" si="13"/>
        <v>Variable inputs</v>
      </c>
      <c r="BC44" s="44" t="str">
        <f t="shared" si="14"/>
        <v>Other revenue allowances</v>
      </c>
    </row>
    <row r="45" spans="2:55">
      <c r="E45" s="43" t="s">
        <v>1012</v>
      </c>
      <c r="G45" s="43" t="str">
        <f t="shared" si="12"/>
        <v>£m 23/24 prices</v>
      </c>
      <c r="AU45" s="161"/>
      <c r="AV45" s="28"/>
      <c r="AW45" s="28"/>
      <c r="AX45" s="28"/>
      <c r="AY45" s="28"/>
      <c r="BA45" s="44" t="str">
        <f t="shared" ca="1" si="4"/>
        <v>NGT_TO</v>
      </c>
      <c r="BB45" s="44" t="str">
        <f t="shared" si="13"/>
        <v>Variable inputs</v>
      </c>
      <c r="BC45" s="44" t="str">
        <f t="shared" si="14"/>
        <v>Other revenue allowances</v>
      </c>
    </row>
    <row r="46" spans="2:55">
      <c r="E46" s="43" t="s">
        <v>255</v>
      </c>
      <c r="G46" s="43" t="str">
        <f t="shared" si="12"/>
        <v>£m 23/24 prices</v>
      </c>
      <c r="AU46" s="161">
        <v>0</v>
      </c>
      <c r="AV46" s="28">
        <v>0</v>
      </c>
      <c r="AW46" s="28">
        <v>0</v>
      </c>
      <c r="AX46" s="28">
        <v>0</v>
      </c>
      <c r="AY46" s="28">
        <v>0</v>
      </c>
      <c r="BA46" s="44" t="str">
        <f t="shared" ca="1" si="4"/>
        <v>NGT_TO</v>
      </c>
      <c r="BB46" s="44" t="str">
        <f t="shared" si="13"/>
        <v>Variable inputs</v>
      </c>
      <c r="BC46" s="44" t="str">
        <f t="shared" si="14"/>
        <v>Other revenue allowances</v>
      </c>
    </row>
    <row r="47" spans="2:55"/>
    <row r="48" spans="2:55" ht="17.5" thickBot="1">
      <c r="B48" s="11" t="s">
        <v>735</v>
      </c>
    </row>
    <row r="49" spans="2:55" ht="17" thickTop="1">
      <c r="E49" s="43" t="s">
        <v>789</v>
      </c>
      <c r="F49" t="s">
        <v>794</v>
      </c>
      <c r="G49" s="43" t="str">
        <f>price_label</f>
        <v>£m 23/24 prices</v>
      </c>
      <c r="H49" s="43" t="s">
        <v>926</v>
      </c>
      <c r="AU49" s="161">
        <v>-42</v>
      </c>
      <c r="AV49" s="28">
        <v>-21</v>
      </c>
      <c r="AW49" s="28">
        <v>0</v>
      </c>
      <c r="AX49" s="28">
        <v>25</v>
      </c>
      <c r="BA49" s="44" t="str">
        <f t="shared" ca="1" si="4"/>
        <v>NGT_TO</v>
      </c>
      <c r="BB49" s="44" t="str">
        <f t="shared" ref="BB49" si="15">$A$6</f>
        <v>Variable inputs</v>
      </c>
      <c r="BC49" s="44" t="str">
        <f>$B$48</f>
        <v>Revenue profiling</v>
      </c>
    </row>
    <row r="50" spans="2:55"/>
    <row r="51" spans="2:55" ht="17.5" thickBot="1">
      <c r="B51" s="11" t="s">
        <v>744</v>
      </c>
      <c r="AU51"/>
      <c r="AV51"/>
      <c r="AW51"/>
      <c r="AX51"/>
      <c r="AY51"/>
    </row>
    <row r="52" spans="2:55" customFormat="1" ht="17" thickTop="1">
      <c r="E52" t="s">
        <v>450</v>
      </c>
      <c r="F52" s="4" t="s">
        <v>794</v>
      </c>
      <c r="G52" s="43" t="str">
        <f>nominal</f>
        <v>£m nominal</v>
      </c>
      <c r="H52" s="4" t="s">
        <v>1023</v>
      </c>
      <c r="AT52" s="77"/>
      <c r="AU52" s="162">
        <v>0</v>
      </c>
      <c r="AV52" s="37">
        <v>0</v>
      </c>
      <c r="AW52" s="37">
        <v>0</v>
      </c>
      <c r="AX52" s="37">
        <v>0</v>
      </c>
      <c r="AY52" s="37">
        <v>0</v>
      </c>
      <c r="BA52" s="44" t="str">
        <f t="shared" ca="1" si="4"/>
        <v>NGT_TO</v>
      </c>
      <c r="BB52" s="44" t="str">
        <f t="shared" ref="BB52:BB58" si="16">$A$6</f>
        <v>Variable inputs</v>
      </c>
      <c r="BC52" s="44" t="str">
        <f>$B$51</f>
        <v>Allowed revenue true-up</v>
      </c>
    </row>
    <row r="53" spans="2:55" customFormat="1" ht="17.5">
      <c r="E53" t="s">
        <v>451</v>
      </c>
      <c r="F53" s="4" t="s">
        <v>794</v>
      </c>
      <c r="G53" s="43" t="str">
        <f>price_label</f>
        <v>£m 23/24 prices</v>
      </c>
      <c r="H53" s="4" t="s">
        <v>1024</v>
      </c>
      <c r="AT53" s="77"/>
      <c r="AU53" s="162">
        <v>0</v>
      </c>
      <c r="AV53" s="37">
        <v>0</v>
      </c>
      <c r="AW53" s="37">
        <v>0</v>
      </c>
      <c r="AX53" s="37">
        <v>0</v>
      </c>
      <c r="AY53" s="37">
        <v>0</v>
      </c>
      <c r="BA53" s="44" t="str">
        <f t="shared" ca="1" si="4"/>
        <v>NGT_TO</v>
      </c>
      <c r="BB53" s="44" t="str">
        <f t="shared" si="16"/>
        <v>Variable inputs</v>
      </c>
      <c r="BC53" s="44" t="str">
        <f t="shared" ref="BC53:BC54" si="17">$B$51</f>
        <v>Allowed revenue true-up</v>
      </c>
    </row>
    <row r="54" spans="2:55" customFormat="1" ht="17.5">
      <c r="E54" t="s">
        <v>547</v>
      </c>
      <c r="F54" s="4" t="s">
        <v>794</v>
      </c>
      <c r="G54" s="43" t="str">
        <f>nominal</f>
        <v>£m nominal</v>
      </c>
      <c r="H54" s="4" t="s">
        <v>1025</v>
      </c>
      <c r="AT54" s="77"/>
      <c r="AU54" s="162"/>
      <c r="AV54" s="37"/>
      <c r="AW54" s="37"/>
      <c r="AX54" s="37"/>
      <c r="AY54" s="37"/>
      <c r="BA54" s="44" t="str">
        <f t="shared" ca="1" si="4"/>
        <v>NGT_TO</v>
      </c>
      <c r="BB54" s="44" t="str">
        <f t="shared" si="16"/>
        <v>Variable inputs</v>
      </c>
      <c r="BC54" s="44" t="str">
        <f t="shared" si="17"/>
        <v>Allowed revenue true-up</v>
      </c>
    </row>
    <row r="55" spans="2:55" customFormat="1" ht="14.5">
      <c r="AT55" s="77"/>
    </row>
    <row r="56" spans="2:55" ht="17.5" thickBot="1">
      <c r="B56" s="11" t="s">
        <v>20</v>
      </c>
    </row>
    <row r="57" spans="2:55" ht="17" thickTop="1">
      <c r="E57" s="113" t="s">
        <v>1160</v>
      </c>
      <c r="F57" s="48" t="s">
        <v>790</v>
      </c>
      <c r="G57" s="43" t="str">
        <f>nominal</f>
        <v>£m nominal</v>
      </c>
      <c r="H57" s="48" t="s">
        <v>818</v>
      </c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 s="77"/>
      <c r="AU57" s="161">
        <v>54.420008969314878</v>
      </c>
      <c r="AV57"/>
      <c r="AW57"/>
      <c r="AX57"/>
      <c r="AY57"/>
      <c r="BA57" s="44" t="str">
        <f t="shared" ca="1" si="4"/>
        <v>NGT_TO</v>
      </c>
      <c r="BB57" s="44" t="str">
        <f t="shared" si="16"/>
        <v>Variable inputs</v>
      </c>
      <c r="BC57" s="44" t="str">
        <f>$B$56</f>
        <v>Legacy adjustments</v>
      </c>
    </row>
    <row r="58" spans="2:55" ht="16.5">
      <c r="E58" s="43" t="s">
        <v>788</v>
      </c>
      <c r="F58" s="48" t="s">
        <v>791</v>
      </c>
      <c r="G58" s="43" t="str">
        <f>nominal</f>
        <v>£m nominal</v>
      </c>
      <c r="H58" s="48" t="s">
        <v>819</v>
      </c>
      <c r="AU58" s="161">
        <v>-63.172660725223999</v>
      </c>
      <c r="BA58" s="44" t="str">
        <f t="shared" ca="1" si="4"/>
        <v>NGT_TO</v>
      </c>
      <c r="BB58" s="44" t="str">
        <f t="shared" si="16"/>
        <v>Variable inputs</v>
      </c>
      <c r="BC58" s="44" t="str">
        <f>$B$56</f>
        <v>Legacy adjustments</v>
      </c>
    </row>
    <row r="59" spans="2:55">
      <c r="E59" s="45"/>
      <c r="F59" s="45"/>
      <c r="H59" s="45"/>
    </row>
    <row r="60" spans="2:55" ht="17.5" thickBot="1">
      <c r="B60" s="11" t="s">
        <v>22</v>
      </c>
      <c r="AS60"/>
    </row>
    <row r="61" spans="2:55" ht="17" thickTop="1">
      <c r="E61" s="43" t="s">
        <v>258</v>
      </c>
      <c r="F61" s="48" t="s">
        <v>793</v>
      </c>
      <c r="G61" s="43" t="str">
        <f>price_label</f>
        <v>£m 23/24 prices</v>
      </c>
      <c r="H61" s="48" t="s">
        <v>1026</v>
      </c>
      <c r="AU61" s="161">
        <v>21.560443218791516</v>
      </c>
      <c r="AV61" s="28">
        <v>16.9980035655318</v>
      </c>
      <c r="AW61" s="28">
        <v>25.288740087641301</v>
      </c>
      <c r="AX61" s="28">
        <v>22.527961313376</v>
      </c>
      <c r="AY61" s="28">
        <v>22.978520539643501</v>
      </c>
      <c r="BA61" s="44" t="str">
        <f t="shared" ca="1" si="4"/>
        <v>NGT_TO</v>
      </c>
      <c r="BB61" s="44" t="str">
        <f>$A$6</f>
        <v>Variable inputs</v>
      </c>
      <c r="BC61" s="44" t="str">
        <f>$B$60</f>
        <v>Directly remunerated services</v>
      </c>
    </row>
    <row r="62" spans="2:55" ht="16.5">
      <c r="E62" s="43" t="s">
        <v>259</v>
      </c>
      <c r="F62" s="48" t="s">
        <v>793</v>
      </c>
      <c r="G62" s="43" t="str">
        <f>price_label</f>
        <v>£m 23/24 prices</v>
      </c>
      <c r="H62" s="48" t="s">
        <v>1027</v>
      </c>
      <c r="AU62" s="161">
        <v>-21.560443218791516</v>
      </c>
      <c r="AV62" s="28">
        <v>-16.998003565531778</v>
      </c>
      <c r="AW62" s="28">
        <v>-25.288740087641308</v>
      </c>
      <c r="AX62" s="28">
        <v>-22.527961313375986</v>
      </c>
      <c r="AY62" s="28">
        <v>-22.978520539643522</v>
      </c>
      <c r="BA62" s="44" t="str">
        <f t="shared" ca="1" si="4"/>
        <v>NGT_TO</v>
      </c>
      <c r="BB62" s="44" t="str">
        <f>$A$6</f>
        <v>Variable inputs</v>
      </c>
      <c r="BC62" s="44" t="str">
        <f>$B$60</f>
        <v>Directly remunerated services</v>
      </c>
    </row>
    <row r="63" spans="2:55"/>
    <row r="64" spans="2:55" ht="17.5" thickBot="1">
      <c r="B64" s="11" t="s">
        <v>745</v>
      </c>
    </row>
    <row r="65" spans="2:55" ht="17" thickTop="1">
      <c r="E65" s="43" t="s">
        <v>24</v>
      </c>
      <c r="G65" s="43" t="str">
        <f t="shared" ref="G65:G67" si="18">nominal</f>
        <v>£m nominal</v>
      </c>
      <c r="H65" s="48" t="s">
        <v>1028</v>
      </c>
      <c r="AU65" s="161">
        <v>0</v>
      </c>
      <c r="AV65" s="28">
        <v>0</v>
      </c>
      <c r="AW65" s="28">
        <v>0</v>
      </c>
      <c r="AX65" s="28">
        <v>0</v>
      </c>
      <c r="AY65" s="28">
        <v>0</v>
      </c>
      <c r="BA65" s="44" t="str">
        <f t="shared" ca="1" si="4"/>
        <v>NGT_TO</v>
      </c>
      <c r="BB65" s="44" t="str">
        <f t="shared" ref="BB65:BB77" si="19">$A$6</f>
        <v>Variable inputs</v>
      </c>
      <c r="BC65" s="44" t="str">
        <f t="shared" ref="BC65:BC77" si="20">$B$64</f>
        <v>Finance and tax</v>
      </c>
    </row>
    <row r="66" spans="2:55" ht="16.5">
      <c r="E66" s="43" t="s">
        <v>25</v>
      </c>
      <c r="G66" s="43" t="str">
        <f t="shared" si="18"/>
        <v>£m nominal</v>
      </c>
      <c r="H66" s="48" t="s">
        <v>1029</v>
      </c>
      <c r="AU66" s="161">
        <v>0</v>
      </c>
      <c r="AV66" s="28">
        <v>0</v>
      </c>
      <c r="AW66" s="28">
        <v>0</v>
      </c>
      <c r="AX66" s="28">
        <v>0</v>
      </c>
      <c r="AY66" s="28">
        <v>0</v>
      </c>
      <c r="BA66" s="44" t="str">
        <f t="shared" ca="1" si="4"/>
        <v>NGT_TO</v>
      </c>
      <c r="BB66" s="44" t="str">
        <f t="shared" si="19"/>
        <v>Variable inputs</v>
      </c>
      <c r="BC66" s="44" t="str">
        <f t="shared" si="20"/>
        <v>Finance and tax</v>
      </c>
    </row>
    <row r="67" spans="2:55" ht="16.5">
      <c r="E67" s="43" t="s">
        <v>26</v>
      </c>
      <c r="F67" s="48" t="s">
        <v>27</v>
      </c>
      <c r="G67" s="43" t="str">
        <f t="shared" si="18"/>
        <v>£m nominal</v>
      </c>
      <c r="H67" s="48" t="s">
        <v>1030</v>
      </c>
      <c r="AU67" s="161">
        <v>0</v>
      </c>
      <c r="AV67" s="28">
        <v>0</v>
      </c>
      <c r="AW67" s="28">
        <v>0</v>
      </c>
      <c r="AX67" s="28">
        <v>0</v>
      </c>
      <c r="AY67" s="28">
        <v>0</v>
      </c>
      <c r="BA67" s="44" t="str">
        <f t="shared" ref="BA67:BA135" ca="1" si="21">$A$1</f>
        <v>NGT_TO</v>
      </c>
      <c r="BB67" s="44" t="str">
        <f t="shared" si="19"/>
        <v>Variable inputs</v>
      </c>
      <c r="BC67" s="44" t="str">
        <f t="shared" si="20"/>
        <v>Finance and tax</v>
      </c>
    </row>
    <row r="68" spans="2:55" ht="16.5">
      <c r="E68" s="43" t="s">
        <v>28</v>
      </c>
      <c r="F68" s="48"/>
      <c r="G68" s="43" t="str">
        <f>price_label</f>
        <v>£m 23/24 prices</v>
      </c>
      <c r="H68" s="48" t="s">
        <v>1031</v>
      </c>
      <c r="AU68" s="161">
        <v>0</v>
      </c>
      <c r="AV68" s="28">
        <v>0</v>
      </c>
      <c r="AW68" s="28">
        <v>0</v>
      </c>
      <c r="AX68" s="28">
        <v>0</v>
      </c>
      <c r="AY68" s="28">
        <v>0</v>
      </c>
      <c r="BA68" s="44" t="str">
        <f t="shared" ca="1" si="21"/>
        <v>NGT_TO</v>
      </c>
      <c r="BB68" s="44" t="str">
        <f t="shared" si="19"/>
        <v>Variable inputs</v>
      </c>
      <c r="BC68" s="44" t="str">
        <f t="shared" si="20"/>
        <v>Finance and tax</v>
      </c>
    </row>
    <row r="69" spans="2:55" ht="16.5">
      <c r="E69" s="43" t="s">
        <v>29</v>
      </c>
      <c r="F69" s="48" t="s">
        <v>792</v>
      </c>
      <c r="G69" s="43" t="str">
        <f t="shared" ref="G69:G77" si="22">nominal</f>
        <v>£m nominal</v>
      </c>
      <c r="H69" s="48" t="s">
        <v>1017</v>
      </c>
      <c r="AU69" s="161">
        <v>320.67244916379758</v>
      </c>
      <c r="BA69" s="44" t="str">
        <f t="shared" ca="1" si="21"/>
        <v>NGT_TO</v>
      </c>
      <c r="BB69" s="44" t="str">
        <f t="shared" si="19"/>
        <v>Variable inputs</v>
      </c>
      <c r="BC69" s="44" t="str">
        <f t="shared" si="20"/>
        <v>Finance and tax</v>
      </c>
    </row>
    <row r="70" spans="2:55" ht="16.5">
      <c r="E70" s="43" t="s">
        <v>718</v>
      </c>
      <c r="F70" s="48" t="s">
        <v>792</v>
      </c>
      <c r="G70" s="43" t="str">
        <f t="shared" si="22"/>
        <v>£m nominal</v>
      </c>
      <c r="H70" s="48" t="s">
        <v>1032</v>
      </c>
      <c r="AU70" s="161">
        <v>2093.8684751496303</v>
      </c>
      <c r="BA70" s="44" t="str">
        <f t="shared" ca="1" si="21"/>
        <v>NGT_TO</v>
      </c>
      <c r="BB70" s="44" t="str">
        <f t="shared" si="19"/>
        <v>Variable inputs</v>
      </c>
      <c r="BC70" s="44" t="str">
        <f t="shared" si="20"/>
        <v>Finance and tax</v>
      </c>
    </row>
    <row r="71" spans="2:55" ht="16.5">
      <c r="E71" s="43" t="s">
        <v>719</v>
      </c>
      <c r="F71" s="48" t="s">
        <v>792</v>
      </c>
      <c r="G71" s="43" t="str">
        <f t="shared" si="22"/>
        <v>£m nominal</v>
      </c>
      <c r="H71" s="48" t="s">
        <v>1033</v>
      </c>
      <c r="AT71" s="77"/>
      <c r="AU71" s="161">
        <v>12.25226183603101</v>
      </c>
      <c r="BA71" s="44" t="str">
        <f t="shared" ca="1" si="21"/>
        <v>NGT_TO</v>
      </c>
      <c r="BB71" s="44" t="str">
        <f t="shared" si="19"/>
        <v>Variable inputs</v>
      </c>
      <c r="BC71" s="44" t="str">
        <f t="shared" si="20"/>
        <v>Finance and tax</v>
      </c>
    </row>
    <row r="72" spans="2:55" ht="16.5">
      <c r="E72" s="43" t="s">
        <v>720</v>
      </c>
      <c r="F72" s="48" t="s">
        <v>792</v>
      </c>
      <c r="G72" s="43" t="str">
        <f t="shared" si="22"/>
        <v>£m nominal</v>
      </c>
      <c r="H72" s="48" t="s">
        <v>1034</v>
      </c>
      <c r="AU72" s="161">
        <v>2.195185582472611</v>
      </c>
      <c r="BA72" s="44" t="str">
        <f t="shared" ca="1" si="21"/>
        <v>NGT_TO</v>
      </c>
      <c r="BB72" s="44" t="str">
        <f t="shared" si="19"/>
        <v>Variable inputs</v>
      </c>
      <c r="BC72" s="44" t="str">
        <f t="shared" si="20"/>
        <v>Finance and tax</v>
      </c>
    </row>
    <row r="73" spans="2:55" ht="16.5">
      <c r="E73" s="43" t="s">
        <v>340</v>
      </c>
      <c r="F73" s="48"/>
      <c r="G73" s="43" t="str">
        <f t="shared" si="22"/>
        <v>£m nominal</v>
      </c>
      <c r="H73" s="48" t="s">
        <v>1018</v>
      </c>
      <c r="AU73" s="161">
        <v>-219.047</v>
      </c>
      <c r="AV73"/>
      <c r="AW73"/>
      <c r="AX73"/>
      <c r="AY73"/>
      <c r="BA73" s="44" t="str">
        <f t="shared" ca="1" si="21"/>
        <v>NGT_TO</v>
      </c>
      <c r="BB73" s="44" t="str">
        <f t="shared" si="19"/>
        <v>Variable inputs</v>
      </c>
      <c r="BC73" s="44" t="str">
        <f t="shared" si="20"/>
        <v>Finance and tax</v>
      </c>
    </row>
    <row r="74" spans="2:55" ht="16.5">
      <c r="E74" s="43" t="s">
        <v>717</v>
      </c>
      <c r="F74" s="48"/>
      <c r="G74" s="43" t="str">
        <f t="shared" si="22"/>
        <v>£m nominal</v>
      </c>
      <c r="H74" s="48" t="s">
        <v>1035</v>
      </c>
      <c r="AU74" s="161">
        <v>-210.34763581310202</v>
      </c>
      <c r="AV74"/>
      <c r="AW74"/>
      <c r="AX74"/>
      <c r="AY74"/>
      <c r="BA74" s="44" t="str">
        <f t="shared" ca="1" si="21"/>
        <v>NGT_TO</v>
      </c>
      <c r="BB74" s="44" t="str">
        <f t="shared" si="19"/>
        <v>Variable inputs</v>
      </c>
      <c r="BC74" s="44" t="str">
        <f t="shared" si="20"/>
        <v>Finance and tax</v>
      </c>
    </row>
    <row r="75" spans="2:55" ht="16.5">
      <c r="E75" s="43" t="s">
        <v>807</v>
      </c>
      <c r="F75" s="48" t="s">
        <v>792</v>
      </c>
      <c r="G75" s="43" t="str">
        <f t="shared" si="22"/>
        <v>£m nominal</v>
      </c>
      <c r="H75" s="48" t="s">
        <v>1036</v>
      </c>
      <c r="J75" s="43" t="s">
        <v>10</v>
      </c>
      <c r="AT75" s="161">
        <v>13.364857720414665</v>
      </c>
      <c r="BA75" s="44" t="str">
        <f t="shared" ca="1" si="21"/>
        <v>NGT_TO</v>
      </c>
      <c r="BB75" s="44" t="str">
        <f t="shared" si="19"/>
        <v>Variable inputs</v>
      </c>
      <c r="BC75" s="44" t="str">
        <f t="shared" si="20"/>
        <v>Finance and tax</v>
      </c>
    </row>
    <row r="76" spans="2:55" ht="16.5">
      <c r="E76" s="43" t="s">
        <v>806</v>
      </c>
      <c r="F76" s="48" t="s">
        <v>792</v>
      </c>
      <c r="G76" s="43" t="str">
        <f t="shared" si="22"/>
        <v>£m nominal</v>
      </c>
      <c r="H76" s="48" t="s">
        <v>1037</v>
      </c>
      <c r="J76" s="43" t="s">
        <v>10</v>
      </c>
      <c r="AT76" s="161">
        <v>2.2275469598115083</v>
      </c>
      <c r="BA76" s="44" t="str">
        <f t="shared" ca="1" si="21"/>
        <v>NGT_TO</v>
      </c>
      <c r="BB76" s="44" t="str">
        <f t="shared" si="19"/>
        <v>Variable inputs</v>
      </c>
      <c r="BC76" s="44" t="str">
        <f t="shared" si="20"/>
        <v>Finance and tax</v>
      </c>
    </row>
    <row r="77" spans="2:55" ht="16.5">
      <c r="E77" s="43" t="s">
        <v>31</v>
      </c>
      <c r="F77" s="48" t="s">
        <v>792</v>
      </c>
      <c r="G77" s="43" t="str">
        <f t="shared" si="22"/>
        <v>£m nominal</v>
      </c>
      <c r="H77" s="48" t="s">
        <v>1038</v>
      </c>
      <c r="AU77" s="161">
        <v>0</v>
      </c>
      <c r="BA77" s="44" t="str">
        <f t="shared" ca="1" si="21"/>
        <v>NGT_TO</v>
      </c>
      <c r="BB77" s="44" t="str">
        <f t="shared" si="19"/>
        <v>Variable inputs</v>
      </c>
      <c r="BC77" s="44" t="str">
        <f t="shared" si="20"/>
        <v>Finance and tax</v>
      </c>
    </row>
    <row r="78" spans="2:55">
      <c r="AU78"/>
      <c r="AV78"/>
      <c r="AW78"/>
      <c r="AX78"/>
      <c r="AY78"/>
    </row>
    <row r="79" spans="2:55" ht="17.5" thickBot="1">
      <c r="B79" s="11" t="s">
        <v>39</v>
      </c>
    </row>
    <row r="80" spans="2:55" ht="17" thickTop="1" thickBot="1">
      <c r="C80" s="12" t="s">
        <v>39</v>
      </c>
    </row>
    <row r="81" spans="5:56" ht="16.5">
      <c r="E81" s="43" t="s">
        <v>831</v>
      </c>
      <c r="F81" s="43" t="s">
        <v>41</v>
      </c>
      <c r="G81" s="43" t="str">
        <f t="shared" ref="G81:G123" si="23">price_label</f>
        <v>£m 23/24 prices</v>
      </c>
      <c r="H81" s="43" t="s">
        <v>889</v>
      </c>
      <c r="AU81" s="161">
        <v>97.274288959155768</v>
      </c>
      <c r="AV81" s="28">
        <v>100.99621266913842</v>
      </c>
      <c r="AW81" s="28">
        <v>113.67179183309473</v>
      </c>
      <c r="AX81" s="28">
        <v>116.72906477120164</v>
      </c>
      <c r="AY81" s="28">
        <v>146.66950594248902</v>
      </c>
      <c r="BA81" s="44" t="str">
        <f t="shared" ca="1" si="21"/>
        <v>NGT_TO</v>
      </c>
      <c r="BB81" s="44" t="str">
        <f t="shared" ref="BB81:BB123" si="24">$A$6</f>
        <v>Variable inputs</v>
      </c>
      <c r="BC81" s="44" t="str">
        <f t="shared" ref="BC81:BC123" si="25">$B$79</f>
        <v>Variant allowances</v>
      </c>
      <c r="BD81" s="44" t="str">
        <f t="shared" ref="BD81:BD123" si="26">$C$80</f>
        <v>Variant allowances</v>
      </c>
    </row>
    <row r="82" spans="5:56" ht="16.5">
      <c r="E82" s="43" t="s">
        <v>261</v>
      </c>
      <c r="F82" s="43" t="s">
        <v>41</v>
      </c>
      <c r="G82" s="43" t="str">
        <f t="shared" si="23"/>
        <v>£m 23/24 prices</v>
      </c>
      <c r="H82" s="43" t="s">
        <v>890</v>
      </c>
      <c r="AU82" s="161">
        <v>0</v>
      </c>
      <c r="AV82" s="28">
        <v>0</v>
      </c>
      <c r="AW82" s="28">
        <v>0</v>
      </c>
      <c r="AX82" s="28">
        <v>0</v>
      </c>
      <c r="AY82" s="28">
        <v>0</v>
      </c>
      <c r="BA82" s="44" t="str">
        <f t="shared" ca="1" si="21"/>
        <v>NGT_TO</v>
      </c>
      <c r="BB82" s="44" t="str">
        <f t="shared" si="24"/>
        <v>Variable inputs</v>
      </c>
      <c r="BC82" s="44" t="str">
        <f t="shared" si="25"/>
        <v>Variant allowances</v>
      </c>
      <c r="BD82" s="44" t="str">
        <f t="shared" si="26"/>
        <v>Variant allowances</v>
      </c>
    </row>
    <row r="83" spans="5:56" ht="16.5">
      <c r="E83" s="43" t="s">
        <v>832</v>
      </c>
      <c r="F83" s="43" t="s">
        <v>46</v>
      </c>
      <c r="G83" s="43" t="str">
        <f t="shared" si="23"/>
        <v>£m 23/24 prices</v>
      </c>
      <c r="H83" s="43" t="s">
        <v>891</v>
      </c>
      <c r="AU83" s="161">
        <v>57.667199334260971</v>
      </c>
      <c r="AV83" s="28">
        <v>60.456073969463418</v>
      </c>
      <c r="AW83" s="28">
        <v>57.006286629753333</v>
      </c>
      <c r="AX83" s="28">
        <v>48.054658794727878</v>
      </c>
      <c r="AY83" s="28">
        <v>44.299062903804199</v>
      </c>
      <c r="BA83" s="44" t="str">
        <f t="shared" ca="1" si="21"/>
        <v>NGT_TO</v>
      </c>
      <c r="BB83" s="44" t="str">
        <f t="shared" si="24"/>
        <v>Variable inputs</v>
      </c>
      <c r="BC83" s="44" t="str">
        <f t="shared" si="25"/>
        <v>Variant allowances</v>
      </c>
      <c r="BD83" s="44" t="str">
        <f t="shared" si="26"/>
        <v>Variant allowances</v>
      </c>
    </row>
    <row r="84" spans="5:56" ht="16.5">
      <c r="E84" s="43" t="s">
        <v>833</v>
      </c>
      <c r="F84" s="43" t="s">
        <v>46</v>
      </c>
      <c r="G84" s="43" t="str">
        <f t="shared" si="23"/>
        <v>£m 23/24 prices</v>
      </c>
      <c r="H84" s="43" t="s">
        <v>892</v>
      </c>
      <c r="AU84" s="161">
        <v>0</v>
      </c>
      <c r="AV84" s="28">
        <v>0</v>
      </c>
      <c r="AW84" s="28">
        <v>0</v>
      </c>
      <c r="AX84" s="28">
        <v>0</v>
      </c>
      <c r="AY84" s="28">
        <v>0</v>
      </c>
      <c r="BA84" s="44" t="str">
        <f t="shared" ca="1" si="21"/>
        <v>NGT_TO</v>
      </c>
      <c r="BB84" s="44" t="str">
        <f t="shared" si="24"/>
        <v>Variable inputs</v>
      </c>
      <c r="BC84" s="44" t="str">
        <f t="shared" si="25"/>
        <v>Variant allowances</v>
      </c>
      <c r="BD84" s="44" t="str">
        <f t="shared" si="26"/>
        <v>Variant allowances</v>
      </c>
    </row>
    <row r="85" spans="5:56" ht="16.5">
      <c r="E85" s="43" t="s">
        <v>1129</v>
      </c>
      <c r="F85" s="43" t="s">
        <v>46</v>
      </c>
      <c r="G85" s="43" t="str">
        <f t="shared" si="23"/>
        <v>£m 23/24 prices</v>
      </c>
      <c r="H85" s="43" t="s">
        <v>893</v>
      </c>
      <c r="AU85" s="161">
        <v>5.0092852264934367</v>
      </c>
      <c r="AV85" s="28">
        <v>5.4400164624388623</v>
      </c>
      <c r="AW85" s="28">
        <v>7.3747446891219388</v>
      </c>
      <c r="AX85" s="28">
        <v>0</v>
      </c>
      <c r="AY85" s="28">
        <v>0</v>
      </c>
      <c r="BA85" s="44" t="str">
        <f t="shared" ca="1" si="21"/>
        <v>NGT_TO</v>
      </c>
      <c r="BB85" s="44" t="str">
        <f t="shared" si="24"/>
        <v>Variable inputs</v>
      </c>
      <c r="BC85" s="44" t="str">
        <f t="shared" si="25"/>
        <v>Variant allowances</v>
      </c>
      <c r="BD85" s="44" t="str">
        <f t="shared" si="26"/>
        <v>Variant allowances</v>
      </c>
    </row>
    <row r="86" spans="5:56" ht="16.5">
      <c r="E86" s="43" t="s">
        <v>835</v>
      </c>
      <c r="F86" s="43" t="s">
        <v>47</v>
      </c>
      <c r="G86" s="43" t="str">
        <f t="shared" si="23"/>
        <v>£m 23/24 prices</v>
      </c>
      <c r="H86" s="43" t="s">
        <v>1131</v>
      </c>
      <c r="AU86" s="161"/>
      <c r="AV86" s="28">
        <v>1.9926644</v>
      </c>
      <c r="AW86" s="28">
        <v>1.9926644</v>
      </c>
      <c r="AX86" s="28">
        <v>2.9889965800000002</v>
      </c>
      <c r="AY86" s="28">
        <v>2.9889965800000002</v>
      </c>
      <c r="BA86" s="44" t="str">
        <f t="shared" ca="1" si="21"/>
        <v>NGT_TO</v>
      </c>
      <c r="BB86" s="44" t="str">
        <f t="shared" si="24"/>
        <v>Variable inputs</v>
      </c>
      <c r="BC86" s="44" t="str">
        <f t="shared" si="25"/>
        <v>Variant allowances</v>
      </c>
      <c r="BD86" s="44" t="str">
        <f t="shared" si="26"/>
        <v>Variant allowances</v>
      </c>
    </row>
    <row r="87" spans="5:56" ht="16.5">
      <c r="E87" s="43" t="s">
        <v>836</v>
      </c>
      <c r="F87" s="43" t="s">
        <v>47</v>
      </c>
      <c r="G87" s="43" t="str">
        <f t="shared" si="23"/>
        <v>£m 23/24 prices</v>
      </c>
      <c r="H87" s="43" t="s">
        <v>894</v>
      </c>
      <c r="AU87" s="161">
        <v>29.81197787123649</v>
      </c>
      <c r="AV87" s="28">
        <v>33.595003895043554</v>
      </c>
      <c r="AW87" s="28">
        <v>25.697737476290424</v>
      </c>
      <c r="AX87" s="28">
        <v>24.872034517836031</v>
      </c>
      <c r="AY87" s="28">
        <v>21.16905570401115</v>
      </c>
      <c r="BA87" s="44" t="str">
        <f t="shared" ca="1" si="21"/>
        <v>NGT_TO</v>
      </c>
      <c r="BB87" s="44" t="str">
        <f t="shared" si="24"/>
        <v>Variable inputs</v>
      </c>
      <c r="BC87" s="44" t="str">
        <f t="shared" si="25"/>
        <v>Variant allowances</v>
      </c>
      <c r="BD87" s="44" t="str">
        <f t="shared" si="26"/>
        <v>Variant allowances</v>
      </c>
    </row>
    <row r="88" spans="5:56" ht="16.5">
      <c r="E88" s="43" t="s">
        <v>837</v>
      </c>
      <c r="F88" s="43" t="s">
        <v>47</v>
      </c>
      <c r="G88" s="43" t="str">
        <f t="shared" si="23"/>
        <v>£m 23/24 prices</v>
      </c>
      <c r="H88" s="43" t="s">
        <v>895</v>
      </c>
      <c r="AU88" s="161">
        <v>0</v>
      </c>
      <c r="AV88" s="28">
        <v>0</v>
      </c>
      <c r="AW88" s="28">
        <v>0</v>
      </c>
      <c r="AX88" s="28">
        <v>0</v>
      </c>
      <c r="AY88" s="28">
        <v>0</v>
      </c>
      <c r="BA88" s="44" t="str">
        <f t="shared" ca="1" si="21"/>
        <v>NGT_TO</v>
      </c>
      <c r="BB88" s="44" t="str">
        <f t="shared" si="24"/>
        <v>Variable inputs</v>
      </c>
      <c r="BC88" s="44" t="str">
        <f t="shared" si="25"/>
        <v>Variant allowances</v>
      </c>
      <c r="BD88" s="44" t="str">
        <f t="shared" si="26"/>
        <v>Variant allowances</v>
      </c>
    </row>
    <row r="89" spans="5:56" ht="16.5">
      <c r="E89" s="43" t="s">
        <v>838</v>
      </c>
      <c r="F89" s="43" t="s">
        <v>48</v>
      </c>
      <c r="G89" s="43" t="str">
        <f t="shared" si="23"/>
        <v>£m 23/24 prices</v>
      </c>
      <c r="H89" s="43" t="s">
        <v>896</v>
      </c>
      <c r="AU89" s="161">
        <v>45.08</v>
      </c>
      <c r="AV89" s="28">
        <v>25.06</v>
      </c>
      <c r="AW89" s="28">
        <v>25.06</v>
      </c>
      <c r="AX89" s="28">
        <v>0</v>
      </c>
      <c r="AY89" s="28">
        <v>0</v>
      </c>
      <c r="BA89" s="44" t="str">
        <f t="shared" ca="1" si="21"/>
        <v>NGT_TO</v>
      </c>
      <c r="BB89" s="44" t="str">
        <f t="shared" si="24"/>
        <v>Variable inputs</v>
      </c>
      <c r="BC89" s="44" t="str">
        <f t="shared" si="25"/>
        <v>Variant allowances</v>
      </c>
      <c r="BD89" s="44" t="str">
        <f t="shared" si="26"/>
        <v>Variant allowances</v>
      </c>
    </row>
    <row r="90" spans="5:56" ht="16.5">
      <c r="E90" s="43" t="s">
        <v>839</v>
      </c>
      <c r="F90" s="43" t="s">
        <v>49</v>
      </c>
      <c r="G90" s="43" t="str">
        <f t="shared" si="23"/>
        <v>£m 23/24 prices</v>
      </c>
      <c r="H90" s="43" t="s">
        <v>897</v>
      </c>
      <c r="AU90" s="161">
        <v>3.26</v>
      </c>
      <c r="AV90" s="28">
        <v>3.27</v>
      </c>
      <c r="AW90" s="28">
        <v>3.3</v>
      </c>
      <c r="AX90" s="28">
        <v>3.02</v>
      </c>
      <c r="AY90" s="28">
        <v>3.14</v>
      </c>
      <c r="BA90" s="44" t="str">
        <f t="shared" ca="1" si="21"/>
        <v>NGT_TO</v>
      </c>
      <c r="BB90" s="44" t="str">
        <f t="shared" si="24"/>
        <v>Variable inputs</v>
      </c>
      <c r="BC90" s="44" t="str">
        <f t="shared" si="25"/>
        <v>Variant allowances</v>
      </c>
      <c r="BD90" s="44" t="str">
        <f t="shared" si="26"/>
        <v>Variant allowances</v>
      </c>
    </row>
    <row r="91" spans="5:56" ht="16.5">
      <c r="E91" s="43" t="s">
        <v>840</v>
      </c>
      <c r="F91" s="43" t="s">
        <v>54</v>
      </c>
      <c r="G91" s="43" t="str">
        <f t="shared" si="23"/>
        <v>£m 23/24 prices</v>
      </c>
      <c r="H91" s="43" t="s">
        <v>898</v>
      </c>
      <c r="AU91" s="161">
        <v>111.92495945032526</v>
      </c>
      <c r="AV91" s="28">
        <v>224.74303368309342</v>
      </c>
      <c r="AW91" s="28">
        <v>239.55849453497493</v>
      </c>
      <c r="AX91" s="28">
        <v>113.42545584240882</v>
      </c>
      <c r="AY91" s="28">
        <v>57.451295833539724</v>
      </c>
      <c r="BA91" s="44" t="str">
        <f t="shared" ca="1" si="21"/>
        <v>NGT_TO</v>
      </c>
      <c r="BB91" s="44" t="str">
        <f t="shared" si="24"/>
        <v>Variable inputs</v>
      </c>
      <c r="BC91" s="44" t="str">
        <f t="shared" si="25"/>
        <v>Variant allowances</v>
      </c>
      <c r="BD91" s="44" t="str">
        <f t="shared" si="26"/>
        <v>Variant allowances</v>
      </c>
    </row>
    <row r="92" spans="5:56" ht="16.5">
      <c r="E92" s="43" t="s">
        <v>841</v>
      </c>
      <c r="F92" s="43" t="s">
        <v>57</v>
      </c>
      <c r="G92" s="43" t="str">
        <f t="shared" si="23"/>
        <v>£m 23/24 prices</v>
      </c>
      <c r="H92" s="43" t="s">
        <v>899</v>
      </c>
      <c r="AU92" s="161">
        <v>0</v>
      </c>
      <c r="AV92" s="28">
        <v>0</v>
      </c>
      <c r="AW92" s="28">
        <v>18.736993307516585</v>
      </c>
      <c r="AX92" s="28">
        <v>20.390050887908291</v>
      </c>
      <c r="AY92" s="28">
        <v>0</v>
      </c>
      <c r="BA92" s="44" t="str">
        <f t="shared" ca="1" si="21"/>
        <v>NGT_TO</v>
      </c>
      <c r="BB92" s="44" t="str">
        <f t="shared" si="24"/>
        <v>Variable inputs</v>
      </c>
      <c r="BC92" s="44" t="str">
        <f t="shared" si="25"/>
        <v>Variant allowances</v>
      </c>
      <c r="BD92" s="44" t="str">
        <f t="shared" si="26"/>
        <v>Variant allowances</v>
      </c>
    </row>
    <row r="93" spans="5:56" ht="16.5">
      <c r="E93" s="43" t="s">
        <v>842</v>
      </c>
      <c r="F93" s="43" t="s">
        <v>52</v>
      </c>
      <c r="G93" s="43" t="str">
        <f t="shared" si="23"/>
        <v>£m 23/24 prices</v>
      </c>
      <c r="H93" s="43" t="s">
        <v>900</v>
      </c>
      <c r="AU93" s="161">
        <v>0</v>
      </c>
      <c r="AV93" s="28">
        <v>0</v>
      </c>
      <c r="AW93" s="28">
        <v>0</v>
      </c>
      <c r="AX93" s="28">
        <v>0</v>
      </c>
      <c r="AY93" s="28">
        <v>0</v>
      </c>
      <c r="BA93" s="44" t="str">
        <f t="shared" ca="1" si="21"/>
        <v>NGT_TO</v>
      </c>
      <c r="BB93" s="44" t="str">
        <f t="shared" si="24"/>
        <v>Variable inputs</v>
      </c>
      <c r="BC93" s="44" t="str">
        <f t="shared" si="25"/>
        <v>Variant allowances</v>
      </c>
      <c r="BD93" s="44" t="str">
        <f t="shared" si="26"/>
        <v>Variant allowances</v>
      </c>
    </row>
    <row r="94" spans="5:56" ht="16.5">
      <c r="E94" s="43" t="s">
        <v>260</v>
      </c>
      <c r="F94" s="43" t="s">
        <v>58</v>
      </c>
      <c r="G94" s="43" t="str">
        <f t="shared" si="23"/>
        <v>£m 23/24 prices</v>
      </c>
      <c r="H94" s="43" t="s">
        <v>901</v>
      </c>
      <c r="AU94" s="161">
        <v>0</v>
      </c>
      <c r="AV94" s="28">
        <v>0</v>
      </c>
      <c r="AW94" s="28">
        <v>0</v>
      </c>
      <c r="AX94" s="28">
        <v>0</v>
      </c>
      <c r="AY94" s="28">
        <v>0</v>
      </c>
      <c r="BA94" s="44" t="str">
        <f t="shared" ca="1" si="21"/>
        <v>NGT_TO</v>
      </c>
      <c r="BB94" s="44" t="str">
        <f t="shared" si="24"/>
        <v>Variable inputs</v>
      </c>
      <c r="BC94" s="44" t="str">
        <f t="shared" si="25"/>
        <v>Variant allowances</v>
      </c>
      <c r="BD94" s="44" t="str">
        <f t="shared" si="26"/>
        <v>Variant allowances</v>
      </c>
    </row>
    <row r="95" spans="5:56" ht="16.5">
      <c r="E95" s="43" t="s">
        <v>843</v>
      </c>
      <c r="F95" s="43" t="s">
        <v>42</v>
      </c>
      <c r="G95" s="43" t="str">
        <f t="shared" si="23"/>
        <v>£m 23/24 prices</v>
      </c>
      <c r="H95" s="43" t="s">
        <v>902</v>
      </c>
      <c r="AU95" s="161">
        <v>0</v>
      </c>
      <c r="AV95" s="28">
        <v>0</v>
      </c>
      <c r="AW95" s="28">
        <v>0</v>
      </c>
      <c r="AX95" s="28">
        <v>0</v>
      </c>
      <c r="AY95" s="28">
        <v>0</v>
      </c>
      <c r="BA95" s="44" t="str">
        <f t="shared" ca="1" si="21"/>
        <v>NGT_TO</v>
      </c>
      <c r="BB95" s="44" t="str">
        <f t="shared" si="24"/>
        <v>Variable inputs</v>
      </c>
      <c r="BC95" s="44" t="str">
        <f t="shared" si="25"/>
        <v>Variant allowances</v>
      </c>
      <c r="BD95" s="44" t="str">
        <f t="shared" si="26"/>
        <v>Variant allowances</v>
      </c>
    </row>
    <row r="96" spans="5:56" ht="16.5">
      <c r="E96" s="43" t="s">
        <v>844</v>
      </c>
      <c r="F96" s="43" t="s">
        <v>43</v>
      </c>
      <c r="G96" s="43" t="str">
        <f t="shared" si="23"/>
        <v>£m 23/24 prices</v>
      </c>
      <c r="H96" s="43" t="s">
        <v>903</v>
      </c>
      <c r="AU96" s="161">
        <v>0</v>
      </c>
      <c r="AV96" s="28">
        <v>0</v>
      </c>
      <c r="AW96" s="28">
        <v>0</v>
      </c>
      <c r="AX96" s="28">
        <v>0</v>
      </c>
      <c r="AY96" s="28">
        <v>0</v>
      </c>
      <c r="BA96" s="44" t="str">
        <f t="shared" ca="1" si="21"/>
        <v>NGT_TO</v>
      </c>
      <c r="BB96" s="44" t="str">
        <f t="shared" si="24"/>
        <v>Variable inputs</v>
      </c>
      <c r="BC96" s="44" t="str">
        <f t="shared" si="25"/>
        <v>Variant allowances</v>
      </c>
      <c r="BD96" s="44" t="str">
        <f t="shared" si="26"/>
        <v>Variant allowances</v>
      </c>
    </row>
    <row r="97" spans="5:56" ht="16.5">
      <c r="E97" s="43" t="s">
        <v>845</v>
      </c>
      <c r="F97" s="43" t="s">
        <v>43</v>
      </c>
      <c r="G97" s="43" t="str">
        <f t="shared" si="23"/>
        <v>£m 23/24 prices</v>
      </c>
      <c r="H97" s="43" t="s">
        <v>904</v>
      </c>
      <c r="AU97" s="161">
        <v>0</v>
      </c>
      <c r="AV97" s="28">
        <v>0</v>
      </c>
      <c r="AW97" s="28">
        <v>0</v>
      </c>
      <c r="AX97" s="28">
        <v>0</v>
      </c>
      <c r="AY97" s="28">
        <v>0</v>
      </c>
      <c r="BA97" s="44" t="str">
        <f t="shared" ca="1" si="21"/>
        <v>NGT_TO</v>
      </c>
      <c r="BB97" s="44" t="str">
        <f t="shared" si="24"/>
        <v>Variable inputs</v>
      </c>
      <c r="BC97" s="44" t="str">
        <f t="shared" si="25"/>
        <v>Variant allowances</v>
      </c>
      <c r="BD97" s="44" t="str">
        <f t="shared" si="26"/>
        <v>Variant allowances</v>
      </c>
    </row>
    <row r="98" spans="5:56" ht="16.5">
      <c r="E98" s="43" t="s">
        <v>846</v>
      </c>
      <c r="F98" s="43" t="s">
        <v>44</v>
      </c>
      <c r="G98" s="43" t="str">
        <f t="shared" si="23"/>
        <v>£m 23/24 prices</v>
      </c>
      <c r="H98" s="43" t="s">
        <v>905</v>
      </c>
      <c r="AU98" s="161">
        <v>123.86000000000001</v>
      </c>
      <c r="AV98" s="28">
        <v>118.13</v>
      </c>
      <c r="AW98" s="28">
        <v>83.28</v>
      </c>
      <c r="AX98" s="28">
        <v>76.88</v>
      </c>
      <c r="AY98" s="28">
        <v>46.6</v>
      </c>
      <c r="BA98" s="44" t="str">
        <f t="shared" ca="1" si="21"/>
        <v>NGT_TO</v>
      </c>
      <c r="BB98" s="44" t="str">
        <f t="shared" si="24"/>
        <v>Variable inputs</v>
      </c>
      <c r="BC98" s="44" t="str">
        <f t="shared" si="25"/>
        <v>Variant allowances</v>
      </c>
      <c r="BD98" s="44" t="str">
        <f t="shared" si="26"/>
        <v>Variant allowances</v>
      </c>
    </row>
    <row r="99" spans="5:56" ht="16.5">
      <c r="E99" s="43" t="s">
        <v>847</v>
      </c>
      <c r="F99" s="43" t="s">
        <v>45</v>
      </c>
      <c r="G99" s="43" t="str">
        <f t="shared" si="23"/>
        <v>£m 23/24 prices</v>
      </c>
      <c r="H99" s="43" t="s">
        <v>906</v>
      </c>
      <c r="AU99" s="161">
        <v>1.1030460275854772</v>
      </c>
      <c r="AV99" s="28">
        <v>2.4835798273719027</v>
      </c>
      <c r="AW99" s="28">
        <v>4.760771522397194</v>
      </c>
      <c r="AX99" s="28">
        <v>6.2800726763229537</v>
      </c>
      <c r="AY99" s="28">
        <v>17.384146947357916</v>
      </c>
      <c r="BA99" s="44" t="str">
        <f t="shared" ca="1" si="21"/>
        <v>NGT_TO</v>
      </c>
      <c r="BB99" s="44" t="str">
        <f t="shared" si="24"/>
        <v>Variable inputs</v>
      </c>
      <c r="BC99" s="44" t="str">
        <f t="shared" si="25"/>
        <v>Variant allowances</v>
      </c>
      <c r="BD99" s="44" t="str">
        <f t="shared" si="26"/>
        <v>Variant allowances</v>
      </c>
    </row>
    <row r="100" spans="5:56" ht="16.5">
      <c r="E100" s="43" t="s">
        <v>1130</v>
      </c>
      <c r="F100" s="43" t="s">
        <v>53</v>
      </c>
      <c r="G100" s="43" t="str">
        <f t="shared" si="23"/>
        <v>£m 23/24 prices</v>
      </c>
      <c r="H100" s="43" t="s">
        <v>907</v>
      </c>
      <c r="AU100" s="161">
        <v>0</v>
      </c>
      <c r="AV100" s="28">
        <v>0</v>
      </c>
      <c r="AW100" s="28">
        <v>0</v>
      </c>
      <c r="AX100" s="28">
        <v>0</v>
      </c>
      <c r="AY100" s="28">
        <v>0</v>
      </c>
      <c r="BA100" s="44" t="str">
        <f t="shared" ca="1" si="21"/>
        <v>NGT_TO</v>
      </c>
      <c r="BB100" s="44" t="str">
        <f t="shared" si="24"/>
        <v>Variable inputs</v>
      </c>
      <c r="BC100" s="44" t="str">
        <f t="shared" si="25"/>
        <v>Variant allowances</v>
      </c>
      <c r="BD100" s="44" t="str">
        <f t="shared" si="26"/>
        <v>Variant allowances</v>
      </c>
    </row>
    <row r="101" spans="5:56" ht="16.5">
      <c r="E101" s="43" t="s">
        <v>848</v>
      </c>
      <c r="F101" s="43" t="s">
        <v>55</v>
      </c>
      <c r="G101" s="43" t="str">
        <f t="shared" si="23"/>
        <v>£m 23/24 prices</v>
      </c>
      <c r="H101" s="43" t="s">
        <v>908</v>
      </c>
      <c r="AU101" s="161">
        <v>4</v>
      </c>
      <c r="AV101" s="28">
        <v>4</v>
      </c>
      <c r="AW101" s="28">
        <v>4</v>
      </c>
      <c r="AX101" s="28">
        <v>4</v>
      </c>
      <c r="AY101" s="28">
        <v>4</v>
      </c>
      <c r="BA101" s="44" t="str">
        <f t="shared" ca="1" si="21"/>
        <v>NGT_TO</v>
      </c>
      <c r="BB101" s="44" t="str">
        <f t="shared" si="24"/>
        <v>Variable inputs</v>
      </c>
      <c r="BC101" s="44" t="str">
        <f t="shared" si="25"/>
        <v>Variant allowances</v>
      </c>
      <c r="BD101" s="44" t="str">
        <f t="shared" si="26"/>
        <v>Variant allowances</v>
      </c>
    </row>
    <row r="102" spans="5:56" ht="16.5">
      <c r="E102" s="43" t="s">
        <v>849</v>
      </c>
      <c r="F102" s="43" t="s">
        <v>50</v>
      </c>
      <c r="G102" s="43" t="str">
        <f t="shared" si="23"/>
        <v>£m 23/24 prices</v>
      </c>
      <c r="H102" s="43" t="s">
        <v>909</v>
      </c>
      <c r="AU102" s="161">
        <v>2.083254347769862</v>
      </c>
      <c r="AV102" s="28">
        <v>4.0254791671583572</v>
      </c>
      <c r="AW102" s="28">
        <v>2.7819269838536234</v>
      </c>
      <c r="AX102" s="28">
        <v>5.3493801699930099</v>
      </c>
      <c r="AY102" s="28">
        <v>5.2958863682930799</v>
      </c>
      <c r="BA102" s="44" t="str">
        <f t="shared" ca="1" si="21"/>
        <v>NGT_TO</v>
      </c>
      <c r="BB102" s="44" t="str">
        <f t="shared" si="24"/>
        <v>Variable inputs</v>
      </c>
      <c r="BC102" s="44" t="str">
        <f t="shared" si="25"/>
        <v>Variant allowances</v>
      </c>
      <c r="BD102" s="44" t="str">
        <f t="shared" si="26"/>
        <v>Variant allowances</v>
      </c>
    </row>
    <row r="103" spans="5:56" ht="16.5">
      <c r="E103" s="43" t="s">
        <v>850</v>
      </c>
      <c r="F103" s="43" t="s">
        <v>51</v>
      </c>
      <c r="G103" s="43" t="str">
        <f t="shared" si="23"/>
        <v>£m 23/24 prices</v>
      </c>
      <c r="H103" s="43" t="s">
        <v>910</v>
      </c>
      <c r="AU103" s="161">
        <v>4.4042626300332515</v>
      </c>
      <c r="AV103" s="28">
        <v>4.3747000666272582</v>
      </c>
      <c r="AW103" s="28">
        <v>4.4657211919893429</v>
      </c>
      <c r="AX103" s="28">
        <v>6.604381086076887</v>
      </c>
      <c r="AY103" s="28">
        <v>14.511451759625936</v>
      </c>
      <c r="BA103" s="44" t="str">
        <f t="shared" ca="1" si="21"/>
        <v>NGT_TO</v>
      </c>
      <c r="BB103" s="44" t="str">
        <f t="shared" si="24"/>
        <v>Variable inputs</v>
      </c>
      <c r="BC103" s="44" t="str">
        <f t="shared" si="25"/>
        <v>Variant allowances</v>
      </c>
      <c r="BD103" s="44" t="str">
        <f t="shared" si="26"/>
        <v>Variant allowances</v>
      </c>
    </row>
    <row r="104" spans="5:56" ht="16.5">
      <c r="E104" s="43" t="s">
        <v>851</v>
      </c>
      <c r="F104" s="43" t="s">
        <v>56</v>
      </c>
      <c r="G104" s="43" t="str">
        <f t="shared" si="23"/>
        <v>£m 23/24 prices</v>
      </c>
      <c r="H104" s="43" t="s">
        <v>911</v>
      </c>
      <c r="AU104" s="161">
        <v>13.53437834975127</v>
      </c>
      <c r="AV104" s="28">
        <v>19.863778311413519</v>
      </c>
      <c r="AW104" s="28">
        <v>42.782035483739442</v>
      </c>
      <c r="AX104" s="28">
        <v>7.1276774703137251</v>
      </c>
      <c r="AY104" s="28">
        <v>1.9998726852021576E-2</v>
      </c>
      <c r="BA104" s="44" t="str">
        <f t="shared" ca="1" si="21"/>
        <v>NGT_TO</v>
      </c>
      <c r="BB104" s="44" t="str">
        <f t="shared" si="24"/>
        <v>Variable inputs</v>
      </c>
      <c r="BC104" s="44" t="str">
        <f t="shared" si="25"/>
        <v>Variant allowances</v>
      </c>
      <c r="BD104" s="44" t="str">
        <f t="shared" si="26"/>
        <v>Variant allowances</v>
      </c>
    </row>
    <row r="105" spans="5:56" ht="16.5">
      <c r="E105" s="43" t="s">
        <v>852</v>
      </c>
      <c r="F105" s="43" t="s">
        <v>56</v>
      </c>
      <c r="G105" s="43" t="str">
        <f t="shared" si="23"/>
        <v>£m 23/24 prices</v>
      </c>
      <c r="H105" s="43" t="s">
        <v>912</v>
      </c>
      <c r="AU105" s="161">
        <v>0</v>
      </c>
      <c r="AV105" s="28">
        <v>0</v>
      </c>
      <c r="AW105" s="28">
        <v>4.1438633008999997</v>
      </c>
      <c r="AX105" s="28">
        <v>5.5312558833999992</v>
      </c>
      <c r="AY105" s="28">
        <v>8.7157826651000008</v>
      </c>
      <c r="BA105" s="44" t="str">
        <f t="shared" ca="1" si="21"/>
        <v>NGT_TO</v>
      </c>
      <c r="BB105" s="44" t="str">
        <f t="shared" si="24"/>
        <v>Variable inputs</v>
      </c>
      <c r="BC105" s="44" t="str">
        <f t="shared" si="25"/>
        <v>Variant allowances</v>
      </c>
      <c r="BD105" s="44" t="str">
        <f t="shared" si="26"/>
        <v>Variant allowances</v>
      </c>
    </row>
    <row r="106" spans="5:56" ht="16.5">
      <c r="E106" s="43" t="s">
        <v>853</v>
      </c>
      <c r="F106" s="43" t="s">
        <v>863</v>
      </c>
      <c r="G106" s="43" t="str">
        <f t="shared" si="23"/>
        <v>£m 23/24 prices</v>
      </c>
      <c r="H106" s="43" t="s">
        <v>913</v>
      </c>
      <c r="AU106" s="161">
        <v>0</v>
      </c>
      <c r="AV106" s="28">
        <v>53.986377270000006</v>
      </c>
      <c r="AW106" s="28">
        <v>92.791417719999998</v>
      </c>
      <c r="AX106" s="28">
        <v>26.203052849999999</v>
      </c>
      <c r="AY106" s="28">
        <v>45.592342440000003</v>
      </c>
      <c r="BA106" s="44" t="str">
        <f t="shared" ca="1" si="21"/>
        <v>NGT_TO</v>
      </c>
      <c r="BB106" s="44" t="str">
        <f t="shared" si="24"/>
        <v>Variable inputs</v>
      </c>
      <c r="BC106" s="44" t="str">
        <f t="shared" si="25"/>
        <v>Variant allowances</v>
      </c>
      <c r="BD106" s="44" t="str">
        <f t="shared" si="26"/>
        <v>Variant allowances</v>
      </c>
    </row>
    <row r="107" spans="5:56" ht="16.5">
      <c r="E107" s="43" t="s">
        <v>854</v>
      </c>
      <c r="F107" s="43" t="s">
        <v>864</v>
      </c>
      <c r="G107" s="43" t="str">
        <f t="shared" si="23"/>
        <v>£m 23/24 prices</v>
      </c>
      <c r="H107" s="43" t="s">
        <v>914</v>
      </c>
      <c r="AU107" s="161">
        <v>3.9774560287488208</v>
      </c>
      <c r="AV107" s="28">
        <v>15.031516864081985</v>
      </c>
      <c r="AW107" s="28">
        <v>26.36441548472056</v>
      </c>
      <c r="AX107" s="28">
        <v>10.117415717943929</v>
      </c>
      <c r="AY107" s="28">
        <v>2.8336896206507531</v>
      </c>
      <c r="BA107" s="44" t="str">
        <f t="shared" ca="1" si="21"/>
        <v>NGT_TO</v>
      </c>
      <c r="BB107" s="44" t="str">
        <f t="shared" si="24"/>
        <v>Variable inputs</v>
      </c>
      <c r="BC107" s="44" t="str">
        <f t="shared" si="25"/>
        <v>Variant allowances</v>
      </c>
      <c r="BD107" s="44" t="str">
        <f t="shared" si="26"/>
        <v>Variant allowances</v>
      </c>
    </row>
    <row r="108" spans="5:56" ht="16.5">
      <c r="E108" s="43" t="s">
        <v>855</v>
      </c>
      <c r="F108" s="43" t="s">
        <v>865</v>
      </c>
      <c r="G108" s="43" t="str">
        <f t="shared" si="23"/>
        <v>£m 23/24 prices</v>
      </c>
      <c r="H108" s="43" t="s">
        <v>915</v>
      </c>
      <c r="AU108" s="161">
        <v>33.394580180000005</v>
      </c>
      <c r="AV108" s="28">
        <v>85.826577400000005</v>
      </c>
      <c r="AW108" s="28">
        <v>48.465610490000003</v>
      </c>
      <c r="AX108" s="28">
        <v>39.579892129999998</v>
      </c>
      <c r="AY108" s="28">
        <v>31.828356120000002</v>
      </c>
      <c r="BA108" s="44" t="str">
        <f t="shared" ca="1" si="21"/>
        <v>NGT_TO</v>
      </c>
      <c r="BB108" s="44" t="str">
        <f t="shared" si="24"/>
        <v>Variable inputs</v>
      </c>
      <c r="BC108" s="44" t="str">
        <f t="shared" si="25"/>
        <v>Variant allowances</v>
      </c>
      <c r="BD108" s="44" t="str">
        <f t="shared" si="26"/>
        <v>Variant allowances</v>
      </c>
    </row>
    <row r="109" spans="5:56" ht="16.5">
      <c r="E109" s="43" t="s">
        <v>856</v>
      </c>
      <c r="F109" s="43" t="s">
        <v>627</v>
      </c>
      <c r="G109" s="43" t="str">
        <f t="shared" si="23"/>
        <v>£m 23/24 prices</v>
      </c>
      <c r="H109" s="43" t="s">
        <v>916</v>
      </c>
      <c r="AU109" s="161">
        <v>0</v>
      </c>
      <c r="AV109" s="28">
        <v>0</v>
      </c>
      <c r="AW109" s="28">
        <v>0</v>
      </c>
      <c r="AX109" s="28">
        <v>0</v>
      </c>
      <c r="AY109" s="28">
        <v>0</v>
      </c>
      <c r="BA109" s="44" t="str">
        <f t="shared" ca="1" si="21"/>
        <v>NGT_TO</v>
      </c>
      <c r="BB109" s="44" t="str">
        <f t="shared" si="24"/>
        <v>Variable inputs</v>
      </c>
      <c r="BC109" s="44" t="str">
        <f t="shared" si="25"/>
        <v>Variant allowances</v>
      </c>
      <c r="BD109" s="44" t="str">
        <f t="shared" si="26"/>
        <v>Variant allowances</v>
      </c>
    </row>
    <row r="110" spans="5:56" ht="16.5">
      <c r="E110" s="43" t="s">
        <v>857</v>
      </c>
      <c r="F110" s="43" t="s">
        <v>866</v>
      </c>
      <c r="G110" s="43" t="str">
        <f t="shared" si="23"/>
        <v>£m 23/24 prices</v>
      </c>
      <c r="H110" s="43" t="s">
        <v>917</v>
      </c>
      <c r="AU110" s="161">
        <v>0</v>
      </c>
      <c r="AV110" s="28">
        <v>0</v>
      </c>
      <c r="AW110" s="28">
        <v>0</v>
      </c>
      <c r="AX110" s="28">
        <v>0</v>
      </c>
      <c r="AY110" s="28">
        <v>0</v>
      </c>
      <c r="BA110" s="44" t="str">
        <f t="shared" ca="1" si="21"/>
        <v>NGT_TO</v>
      </c>
      <c r="BB110" s="44" t="str">
        <f t="shared" si="24"/>
        <v>Variable inputs</v>
      </c>
      <c r="BC110" s="44" t="str">
        <f t="shared" si="25"/>
        <v>Variant allowances</v>
      </c>
      <c r="BD110" s="44" t="str">
        <f t="shared" si="26"/>
        <v>Variant allowances</v>
      </c>
    </row>
    <row r="111" spans="5:56" ht="16.5">
      <c r="E111" s="43" t="s">
        <v>858</v>
      </c>
      <c r="F111" s="43" t="s">
        <v>867</v>
      </c>
      <c r="G111" s="43" t="str">
        <f t="shared" si="23"/>
        <v>£m 23/24 prices</v>
      </c>
      <c r="H111" s="43" t="s">
        <v>918</v>
      </c>
      <c r="AU111" s="161">
        <v>3.2074449408658041</v>
      </c>
      <c r="AV111" s="28">
        <v>1.6597520309532998</v>
      </c>
      <c r="AW111" s="28">
        <v>12.367383920493083</v>
      </c>
      <c r="AX111" s="28">
        <v>26.338365265452634</v>
      </c>
      <c r="AY111" s="28">
        <v>8.3818294118541861</v>
      </c>
      <c r="BA111" s="44" t="str">
        <f t="shared" ca="1" si="21"/>
        <v>NGT_TO</v>
      </c>
      <c r="BB111" s="44" t="str">
        <f t="shared" si="24"/>
        <v>Variable inputs</v>
      </c>
      <c r="BC111" s="44" t="str">
        <f t="shared" si="25"/>
        <v>Variant allowances</v>
      </c>
      <c r="BD111" s="44" t="str">
        <f t="shared" si="26"/>
        <v>Variant allowances</v>
      </c>
    </row>
    <row r="112" spans="5:56" ht="16.5">
      <c r="E112" s="43" t="s">
        <v>859</v>
      </c>
      <c r="F112" s="43" t="s">
        <v>868</v>
      </c>
      <c r="G112" s="43" t="str">
        <f t="shared" si="23"/>
        <v>£m 23/24 prices</v>
      </c>
      <c r="H112" s="43" t="s">
        <v>919</v>
      </c>
      <c r="AU112" s="161">
        <v>3.9755755353169109</v>
      </c>
      <c r="AV112" s="28">
        <v>3.935819779963742</v>
      </c>
      <c r="AW112" s="28">
        <v>3.8964615821641044</v>
      </c>
      <c r="AX112" s="28">
        <v>3.8574969663424632</v>
      </c>
      <c r="AY112" s="28">
        <v>3.8189219966790389</v>
      </c>
      <c r="BA112" s="44" t="str">
        <f t="shared" ca="1" si="21"/>
        <v>NGT_TO</v>
      </c>
      <c r="BB112" s="44" t="str">
        <f t="shared" si="24"/>
        <v>Variable inputs</v>
      </c>
      <c r="BC112" s="44" t="str">
        <f t="shared" si="25"/>
        <v>Variant allowances</v>
      </c>
      <c r="BD112" s="44" t="str">
        <f t="shared" si="26"/>
        <v>Variant allowances</v>
      </c>
    </row>
    <row r="113" spans="1:56" ht="16.5">
      <c r="E113" s="43" t="s">
        <v>860</v>
      </c>
      <c r="F113" s="43" t="s">
        <v>869</v>
      </c>
      <c r="G113" s="43" t="str">
        <f t="shared" si="23"/>
        <v>£m 23/24 prices</v>
      </c>
      <c r="H113" s="43" t="s">
        <v>920</v>
      </c>
      <c r="AU113" s="161">
        <v>3.5413061693755865</v>
      </c>
      <c r="AV113" s="28">
        <v>3.5058931076818305</v>
      </c>
      <c r="AW113" s="28">
        <v>3.4708341766050124</v>
      </c>
      <c r="AX113" s="28">
        <v>3.4361258348389621</v>
      </c>
      <c r="AY113" s="28">
        <v>3.4017645764905726</v>
      </c>
      <c r="BA113" s="44" t="str">
        <f t="shared" ca="1" si="21"/>
        <v>NGT_TO</v>
      </c>
      <c r="BB113" s="44" t="str">
        <f t="shared" si="24"/>
        <v>Variable inputs</v>
      </c>
      <c r="BC113" s="44" t="str">
        <f t="shared" si="25"/>
        <v>Variant allowances</v>
      </c>
      <c r="BD113" s="44" t="str">
        <f t="shared" si="26"/>
        <v>Variant allowances</v>
      </c>
    </row>
    <row r="114" spans="1:56" ht="16.5">
      <c r="E114" s="43" t="s">
        <v>861</v>
      </c>
      <c r="F114" s="43" t="s">
        <v>870</v>
      </c>
      <c r="G114" s="43" t="str">
        <f t="shared" si="23"/>
        <v>£m 23/24 prices</v>
      </c>
      <c r="H114" s="43" t="s">
        <v>921</v>
      </c>
      <c r="AU114" s="161">
        <v>8.011899769144798E-2</v>
      </c>
      <c r="AV114" s="28">
        <v>7.9317837823978457E-2</v>
      </c>
      <c r="AW114" s="28">
        <v>0.43679326633063581</v>
      </c>
      <c r="AX114" s="28">
        <v>1.6130926654239712</v>
      </c>
      <c r="AY114" s="28">
        <v>7.171895416412335</v>
      </c>
      <c r="BA114" s="44" t="str">
        <f t="shared" ca="1" si="21"/>
        <v>NGT_TO</v>
      </c>
      <c r="BB114" s="44" t="str">
        <f t="shared" si="24"/>
        <v>Variable inputs</v>
      </c>
      <c r="BC114" s="44" t="str">
        <f t="shared" si="25"/>
        <v>Variant allowances</v>
      </c>
      <c r="BD114" s="44" t="str">
        <f t="shared" si="26"/>
        <v>Variant allowances</v>
      </c>
    </row>
    <row r="115" spans="1:56" ht="16.5">
      <c r="E115" s="43" t="s">
        <v>862</v>
      </c>
      <c r="F115" s="43" t="s">
        <v>871</v>
      </c>
      <c r="G115" s="43" t="str">
        <f t="shared" si="23"/>
        <v>£m 23/24 prices</v>
      </c>
      <c r="H115" s="43" t="s">
        <v>922</v>
      </c>
      <c r="AU115" s="161">
        <v>0</v>
      </c>
      <c r="AV115" s="28">
        <v>0</v>
      </c>
      <c r="AW115" s="28">
        <v>0</v>
      </c>
      <c r="AX115" s="28">
        <v>0</v>
      </c>
      <c r="AY115" s="28">
        <v>0</v>
      </c>
      <c r="BA115" s="44" t="str">
        <f t="shared" ca="1" si="21"/>
        <v>NGT_TO</v>
      </c>
      <c r="BB115" s="44" t="str">
        <f t="shared" si="24"/>
        <v>Variable inputs</v>
      </c>
      <c r="BC115" s="44" t="str">
        <f t="shared" si="25"/>
        <v>Variant allowances</v>
      </c>
      <c r="BD115" s="44" t="str">
        <f t="shared" si="26"/>
        <v>Variant allowances</v>
      </c>
    </row>
    <row r="116" spans="1:56">
      <c r="E116" s="43" t="s">
        <v>1012</v>
      </c>
      <c r="G116" s="43" t="str">
        <f t="shared" si="23"/>
        <v>£m 23/24 prices</v>
      </c>
      <c r="AU116" s="161"/>
      <c r="AV116" s="28"/>
      <c r="AW116" s="28"/>
      <c r="AX116" s="28"/>
      <c r="AY116" s="28"/>
      <c r="BA116" s="44" t="str">
        <f t="shared" ca="1" si="21"/>
        <v>NGT_TO</v>
      </c>
      <c r="BB116" s="44" t="str">
        <f t="shared" si="24"/>
        <v>Variable inputs</v>
      </c>
      <c r="BC116" s="44" t="str">
        <f t="shared" si="25"/>
        <v>Variant allowances</v>
      </c>
      <c r="BD116" s="44" t="str">
        <f t="shared" si="26"/>
        <v>Variant allowances</v>
      </c>
    </row>
    <row r="117" spans="1:56">
      <c r="E117" s="43" t="s">
        <v>255</v>
      </c>
      <c r="G117" s="43" t="str">
        <f t="shared" si="23"/>
        <v>£m 23/24 prices</v>
      </c>
      <c r="AU117" s="161"/>
      <c r="AV117" s="28"/>
      <c r="AW117" s="28"/>
      <c r="AX117" s="28"/>
      <c r="AY117" s="28"/>
      <c r="BA117" s="44" t="str">
        <f t="shared" ca="1" si="21"/>
        <v>NGT_TO</v>
      </c>
      <c r="BB117" s="44" t="str">
        <f t="shared" si="24"/>
        <v>Variable inputs</v>
      </c>
      <c r="BC117" s="44" t="str">
        <f t="shared" si="25"/>
        <v>Variant allowances</v>
      </c>
      <c r="BD117" s="44" t="str">
        <f t="shared" si="26"/>
        <v>Variant allowances</v>
      </c>
    </row>
    <row r="118" spans="1:56">
      <c r="E118" s="43" t="s">
        <v>256</v>
      </c>
      <c r="G118" s="43" t="str">
        <f t="shared" si="23"/>
        <v>£m 23/24 prices</v>
      </c>
      <c r="AU118" s="161"/>
      <c r="AV118" s="28"/>
      <c r="AW118" s="28"/>
      <c r="AX118" s="28"/>
      <c r="AY118" s="28"/>
      <c r="BA118" s="44" t="str">
        <f t="shared" ca="1" si="21"/>
        <v>NGT_TO</v>
      </c>
      <c r="BB118" s="44" t="str">
        <f t="shared" si="24"/>
        <v>Variable inputs</v>
      </c>
      <c r="BC118" s="44" t="str">
        <f t="shared" si="25"/>
        <v>Variant allowances</v>
      </c>
      <c r="BD118" s="44" t="str">
        <f t="shared" si="26"/>
        <v>Variant allowances</v>
      </c>
    </row>
    <row r="119" spans="1:56">
      <c r="E119" s="43" t="s">
        <v>1155</v>
      </c>
      <c r="G119" s="43" t="str">
        <f t="shared" si="23"/>
        <v>£m 23/24 prices</v>
      </c>
      <c r="AU119" s="161"/>
      <c r="AV119" s="28"/>
      <c r="AW119" s="28"/>
      <c r="AX119" s="28"/>
      <c r="AY119" s="28"/>
      <c r="BA119" s="44" t="str">
        <f t="shared" ca="1" si="21"/>
        <v>NGT_TO</v>
      </c>
      <c r="BB119" s="44" t="str">
        <f t="shared" si="24"/>
        <v>Variable inputs</v>
      </c>
      <c r="BC119" s="44" t="str">
        <f t="shared" si="25"/>
        <v>Variant allowances</v>
      </c>
      <c r="BD119" s="44" t="str">
        <f t="shared" si="26"/>
        <v>Variant allowances</v>
      </c>
    </row>
    <row r="120" spans="1:56">
      <c r="E120" s="43" t="s">
        <v>1156</v>
      </c>
      <c r="G120" s="43" t="str">
        <f t="shared" si="23"/>
        <v>£m 23/24 prices</v>
      </c>
      <c r="AU120" s="161"/>
      <c r="AV120" s="28"/>
      <c r="AW120" s="28"/>
      <c r="AX120" s="28"/>
      <c r="AY120" s="28"/>
      <c r="BA120" s="44" t="str">
        <f t="shared" ca="1" si="21"/>
        <v>NGT_TO</v>
      </c>
      <c r="BB120" s="44" t="str">
        <f t="shared" si="24"/>
        <v>Variable inputs</v>
      </c>
      <c r="BC120" s="44" t="str">
        <f t="shared" si="25"/>
        <v>Variant allowances</v>
      </c>
      <c r="BD120" s="44" t="str">
        <f t="shared" si="26"/>
        <v>Variant allowances</v>
      </c>
    </row>
    <row r="121" spans="1:56">
      <c r="E121" s="43" t="s">
        <v>1157</v>
      </c>
      <c r="G121" s="43" t="str">
        <f t="shared" si="23"/>
        <v>£m 23/24 prices</v>
      </c>
      <c r="AU121" s="161"/>
      <c r="AV121" s="28"/>
      <c r="AW121" s="28"/>
      <c r="AX121" s="28"/>
      <c r="AY121" s="28"/>
      <c r="BA121" s="44" t="str">
        <f t="shared" ca="1" si="21"/>
        <v>NGT_TO</v>
      </c>
      <c r="BB121" s="44" t="str">
        <f t="shared" si="24"/>
        <v>Variable inputs</v>
      </c>
      <c r="BC121" s="44" t="str">
        <f t="shared" si="25"/>
        <v>Variant allowances</v>
      </c>
      <c r="BD121" s="44" t="str">
        <f t="shared" si="26"/>
        <v>Variant allowances</v>
      </c>
    </row>
    <row r="122" spans="1:56">
      <c r="E122" s="43" t="s">
        <v>1158</v>
      </c>
      <c r="G122" s="43" t="str">
        <f t="shared" si="23"/>
        <v>£m 23/24 prices</v>
      </c>
      <c r="AU122" s="161"/>
      <c r="AV122" s="28"/>
      <c r="AW122" s="28"/>
      <c r="AX122" s="28"/>
      <c r="AY122" s="28"/>
      <c r="BA122" s="44" t="str">
        <f t="shared" ca="1" si="21"/>
        <v>NGT_TO</v>
      </c>
      <c r="BB122" s="44" t="str">
        <f t="shared" si="24"/>
        <v>Variable inputs</v>
      </c>
      <c r="BC122" s="44" t="str">
        <f t="shared" si="25"/>
        <v>Variant allowances</v>
      </c>
      <c r="BD122" s="44" t="str">
        <f t="shared" si="26"/>
        <v>Variant allowances</v>
      </c>
    </row>
    <row r="123" spans="1:56">
      <c r="E123" s="43" t="s">
        <v>1159</v>
      </c>
      <c r="G123" s="43" t="str">
        <f t="shared" si="23"/>
        <v>£m 23/24 prices</v>
      </c>
      <c r="AU123" s="161"/>
      <c r="AV123" s="28"/>
      <c r="AW123" s="28"/>
      <c r="AX123" s="28"/>
      <c r="AY123" s="28"/>
      <c r="BA123" s="44" t="str">
        <f t="shared" ca="1" si="21"/>
        <v>NGT_TO</v>
      </c>
      <c r="BB123" s="44" t="str">
        <f t="shared" si="24"/>
        <v>Variable inputs</v>
      </c>
      <c r="BC123" s="44" t="str">
        <f t="shared" si="25"/>
        <v>Variant allowances</v>
      </c>
      <c r="BD123" s="44" t="str">
        <f t="shared" si="26"/>
        <v>Variant allowances</v>
      </c>
    </row>
    <row r="124" spans="1:56" customFormat="1" ht="14.5">
      <c r="AT124" s="77"/>
    </row>
    <row r="125" spans="1:56" ht="20" thickBot="1">
      <c r="A125" s="10" t="s">
        <v>64</v>
      </c>
    </row>
    <row r="126" spans="1:56" customFormat="1" ht="18" thickTop="1" thickBot="1">
      <c r="B126" s="11" t="s">
        <v>39</v>
      </c>
      <c r="AT126" s="77"/>
    </row>
    <row r="127" spans="1:56" ht="17" thickTop="1" thickBot="1">
      <c r="C127" s="12" t="s">
        <v>59</v>
      </c>
      <c r="AU127" s="43" t="s">
        <v>510</v>
      </c>
      <c r="AV127" s="43" t="s">
        <v>511</v>
      </c>
      <c r="AW127" s="43" t="s">
        <v>512</v>
      </c>
      <c r="AX127"/>
    </row>
    <row r="128" spans="1:56" ht="16.5">
      <c r="E128" s="43" t="s">
        <v>831</v>
      </c>
      <c r="F128" s="43" t="s">
        <v>41</v>
      </c>
      <c r="G128" s="43" t="s">
        <v>148</v>
      </c>
      <c r="H128" s="43" t="s">
        <v>889</v>
      </c>
      <c r="AU128" s="163" t="b">
        <v>1</v>
      </c>
      <c r="AV128" s="31" t="b">
        <v>1</v>
      </c>
      <c r="AW128" s="33">
        <v>1</v>
      </c>
      <c r="AX128"/>
      <c r="BA128" s="44" t="str">
        <f t="shared" ca="1" si="21"/>
        <v>NGT_TO</v>
      </c>
      <c r="BB128" s="44" t="str">
        <f t="shared" ref="BB128:BB170" si="27">$A$125</f>
        <v>Fixed Inputs</v>
      </c>
      <c r="BC128" s="44" t="str">
        <f>$B$126</f>
        <v>Variant allowances</v>
      </c>
      <c r="BD128" s="44" t="str">
        <f t="shared" ref="BD128:BD170" si="28">$C$127</f>
        <v>Variant attributes</v>
      </c>
    </row>
    <row r="129" spans="5:56" ht="16.5">
      <c r="E129" s="43" t="s">
        <v>261</v>
      </c>
      <c r="F129" s="43" t="s">
        <v>41</v>
      </c>
      <c r="G129" s="43" t="s">
        <v>148</v>
      </c>
      <c r="H129" s="43" t="s">
        <v>890</v>
      </c>
      <c r="AU129" s="163" t="b">
        <v>1</v>
      </c>
      <c r="AV129" s="31" t="b">
        <v>0</v>
      </c>
      <c r="AW129" s="33">
        <v>2</v>
      </c>
      <c r="AX129"/>
      <c r="BA129" s="44" t="str">
        <f t="shared" ca="1" si="21"/>
        <v>NGT_TO</v>
      </c>
      <c r="BB129" s="44" t="str">
        <f t="shared" si="27"/>
        <v>Fixed Inputs</v>
      </c>
      <c r="BC129" s="44" t="str">
        <f t="shared" ref="BC129:BC170" si="29">$B$126</f>
        <v>Variant allowances</v>
      </c>
      <c r="BD129" s="44" t="str">
        <f t="shared" si="28"/>
        <v>Variant attributes</v>
      </c>
    </row>
    <row r="130" spans="5:56" ht="16.5">
      <c r="E130" s="43" t="s">
        <v>832</v>
      </c>
      <c r="F130" s="43" t="s">
        <v>46</v>
      </c>
      <c r="G130" s="43" t="s">
        <v>148</v>
      </c>
      <c r="H130" s="43" t="s">
        <v>891</v>
      </c>
      <c r="AU130" s="163" t="b">
        <v>1</v>
      </c>
      <c r="AV130" s="31" t="b">
        <v>1</v>
      </c>
      <c r="AW130" s="33">
        <v>1</v>
      </c>
      <c r="AX130"/>
      <c r="BA130" s="44" t="str">
        <f t="shared" ca="1" si="21"/>
        <v>NGT_TO</v>
      </c>
      <c r="BB130" s="44" t="str">
        <f t="shared" si="27"/>
        <v>Fixed Inputs</v>
      </c>
      <c r="BC130" s="44" t="str">
        <f t="shared" si="29"/>
        <v>Variant allowances</v>
      </c>
      <c r="BD130" s="44" t="str">
        <f t="shared" si="28"/>
        <v>Variant attributes</v>
      </c>
    </row>
    <row r="131" spans="5:56" ht="16.5">
      <c r="E131" s="43" t="s">
        <v>833</v>
      </c>
      <c r="F131" s="43" t="s">
        <v>46</v>
      </c>
      <c r="G131" s="43" t="s">
        <v>148</v>
      </c>
      <c r="H131" s="43" t="s">
        <v>892</v>
      </c>
      <c r="AU131" s="163" t="b">
        <v>1</v>
      </c>
      <c r="AV131" s="31" t="b">
        <v>0</v>
      </c>
      <c r="AW131" s="33">
        <v>2</v>
      </c>
      <c r="AX131"/>
      <c r="BA131" s="44" t="str">
        <f t="shared" ca="1" si="21"/>
        <v>NGT_TO</v>
      </c>
      <c r="BB131" s="44" t="str">
        <f t="shared" si="27"/>
        <v>Fixed Inputs</v>
      </c>
      <c r="BC131" s="44" t="str">
        <f t="shared" si="29"/>
        <v>Variant allowances</v>
      </c>
      <c r="BD131" s="44" t="str">
        <f t="shared" si="28"/>
        <v>Variant attributes</v>
      </c>
    </row>
    <row r="132" spans="5:56" ht="16.5">
      <c r="E132" s="43" t="s">
        <v>1129</v>
      </c>
      <c r="F132" s="43" t="s">
        <v>46</v>
      </c>
      <c r="G132" s="43" t="s">
        <v>148</v>
      </c>
      <c r="H132" s="43" t="s">
        <v>893</v>
      </c>
      <c r="AU132" s="163" t="b">
        <v>0</v>
      </c>
      <c r="AV132" s="31" t="b">
        <v>0</v>
      </c>
      <c r="AW132" s="33">
        <v>1</v>
      </c>
      <c r="AX132"/>
      <c r="BA132" s="44" t="str">
        <f t="shared" ca="1" si="21"/>
        <v>NGT_TO</v>
      </c>
      <c r="BB132" s="44" t="str">
        <f t="shared" si="27"/>
        <v>Fixed Inputs</v>
      </c>
      <c r="BC132" s="44" t="str">
        <f t="shared" si="29"/>
        <v>Variant allowances</v>
      </c>
      <c r="BD132" s="44" t="str">
        <f t="shared" si="28"/>
        <v>Variant attributes</v>
      </c>
    </row>
    <row r="133" spans="5:56" ht="16.5">
      <c r="E133" s="43" t="s">
        <v>835</v>
      </c>
      <c r="F133" s="43" t="s">
        <v>47</v>
      </c>
      <c r="G133" s="43" t="s">
        <v>148</v>
      </c>
      <c r="H133" s="43" t="s">
        <v>1131</v>
      </c>
      <c r="AU133" s="163" t="b">
        <v>1</v>
      </c>
      <c r="AV133" s="31" t="b">
        <v>0</v>
      </c>
      <c r="AW133" s="33">
        <v>2</v>
      </c>
      <c r="AX133"/>
      <c r="BA133" s="44" t="str">
        <f t="shared" ca="1" si="21"/>
        <v>NGT_TO</v>
      </c>
      <c r="BB133" s="44" t="str">
        <f t="shared" si="27"/>
        <v>Fixed Inputs</v>
      </c>
      <c r="BC133" s="44" t="str">
        <f t="shared" si="29"/>
        <v>Variant allowances</v>
      </c>
      <c r="BD133" s="44" t="str">
        <f t="shared" si="28"/>
        <v>Variant attributes</v>
      </c>
    </row>
    <row r="134" spans="5:56" ht="16.5">
      <c r="E134" s="43" t="s">
        <v>836</v>
      </c>
      <c r="F134" s="43" t="s">
        <v>47</v>
      </c>
      <c r="G134" s="43" t="s">
        <v>148</v>
      </c>
      <c r="H134" s="43" t="s">
        <v>894</v>
      </c>
      <c r="AU134" s="163" t="b">
        <v>1</v>
      </c>
      <c r="AV134" s="31" t="b">
        <v>1</v>
      </c>
      <c r="AW134" s="33">
        <v>1</v>
      </c>
      <c r="AX134"/>
      <c r="BA134" s="44" t="str">
        <f t="shared" ca="1" si="21"/>
        <v>NGT_TO</v>
      </c>
      <c r="BB134" s="44" t="str">
        <f t="shared" si="27"/>
        <v>Fixed Inputs</v>
      </c>
      <c r="BC134" s="44" t="str">
        <f t="shared" si="29"/>
        <v>Variant allowances</v>
      </c>
      <c r="BD134" s="44" t="str">
        <f t="shared" si="28"/>
        <v>Variant attributes</v>
      </c>
    </row>
    <row r="135" spans="5:56" ht="16.5">
      <c r="E135" s="43" t="s">
        <v>837</v>
      </c>
      <c r="F135" s="43" t="s">
        <v>47</v>
      </c>
      <c r="G135" s="43" t="s">
        <v>148</v>
      </c>
      <c r="H135" s="43" t="s">
        <v>895</v>
      </c>
      <c r="AU135" s="163" t="b">
        <v>1</v>
      </c>
      <c r="AV135" s="31" t="b">
        <v>0</v>
      </c>
      <c r="AW135" s="33">
        <v>2</v>
      </c>
      <c r="AX135"/>
      <c r="BA135" s="44" t="str">
        <f t="shared" ca="1" si="21"/>
        <v>NGT_TO</v>
      </c>
      <c r="BB135" s="44" t="str">
        <f t="shared" si="27"/>
        <v>Fixed Inputs</v>
      </c>
      <c r="BC135" s="44" t="str">
        <f t="shared" si="29"/>
        <v>Variant allowances</v>
      </c>
      <c r="BD135" s="44" t="str">
        <f t="shared" si="28"/>
        <v>Variant attributes</v>
      </c>
    </row>
    <row r="136" spans="5:56" ht="16.5">
      <c r="E136" s="43" t="s">
        <v>838</v>
      </c>
      <c r="F136" s="43" t="s">
        <v>48</v>
      </c>
      <c r="G136" s="43" t="s">
        <v>148</v>
      </c>
      <c r="H136" s="43" t="s">
        <v>896</v>
      </c>
      <c r="AU136" s="163" t="b">
        <v>1</v>
      </c>
      <c r="AV136" s="31" t="b">
        <v>0</v>
      </c>
      <c r="AW136" s="33">
        <v>2</v>
      </c>
      <c r="AX136"/>
      <c r="BA136" s="44" t="str">
        <f t="shared" ref="BA136:BA170" ca="1" si="30">$A$1</f>
        <v>NGT_TO</v>
      </c>
      <c r="BB136" s="44" t="str">
        <f t="shared" si="27"/>
        <v>Fixed Inputs</v>
      </c>
      <c r="BC136" s="44" t="str">
        <f t="shared" si="29"/>
        <v>Variant allowances</v>
      </c>
      <c r="BD136" s="44" t="str">
        <f t="shared" si="28"/>
        <v>Variant attributes</v>
      </c>
    </row>
    <row r="137" spans="5:56" ht="16.5">
      <c r="E137" s="43" t="s">
        <v>839</v>
      </c>
      <c r="F137" s="43" t="s">
        <v>49</v>
      </c>
      <c r="G137" s="43" t="s">
        <v>148</v>
      </c>
      <c r="H137" s="43" t="s">
        <v>897</v>
      </c>
      <c r="AU137" s="163" t="b">
        <v>0</v>
      </c>
      <c r="AV137" s="31" t="b">
        <v>0</v>
      </c>
      <c r="AW137" s="33">
        <v>1</v>
      </c>
      <c r="AX137"/>
      <c r="BA137" s="44" t="str">
        <f t="shared" ca="1" si="30"/>
        <v>NGT_TO</v>
      </c>
      <c r="BB137" s="44" t="str">
        <f t="shared" si="27"/>
        <v>Fixed Inputs</v>
      </c>
      <c r="BC137" s="44" t="str">
        <f t="shared" si="29"/>
        <v>Variant allowances</v>
      </c>
      <c r="BD137" s="44" t="str">
        <f t="shared" si="28"/>
        <v>Variant attributes</v>
      </c>
    </row>
    <row r="138" spans="5:56" ht="16.5">
      <c r="E138" s="43" t="s">
        <v>840</v>
      </c>
      <c r="F138" s="43" t="s">
        <v>54</v>
      </c>
      <c r="G138" s="43" t="s">
        <v>148</v>
      </c>
      <c r="H138" s="43" t="s">
        <v>898</v>
      </c>
      <c r="AU138" s="163" t="b">
        <v>1</v>
      </c>
      <c r="AV138" s="31" t="b">
        <v>0</v>
      </c>
      <c r="AW138" s="33">
        <v>2</v>
      </c>
      <c r="AX138"/>
      <c r="BA138" s="44" t="str">
        <f t="shared" ca="1" si="30"/>
        <v>NGT_TO</v>
      </c>
      <c r="BB138" s="44" t="str">
        <f t="shared" si="27"/>
        <v>Fixed Inputs</v>
      </c>
      <c r="BC138" s="44" t="str">
        <f t="shared" si="29"/>
        <v>Variant allowances</v>
      </c>
      <c r="BD138" s="44" t="str">
        <f t="shared" si="28"/>
        <v>Variant attributes</v>
      </c>
    </row>
    <row r="139" spans="5:56" ht="16.5">
      <c r="E139" s="43" t="s">
        <v>841</v>
      </c>
      <c r="F139" s="43" t="s">
        <v>57</v>
      </c>
      <c r="G139" s="43" t="s">
        <v>148</v>
      </c>
      <c r="H139" s="43" t="s">
        <v>899</v>
      </c>
      <c r="AU139" s="163" t="b">
        <v>1</v>
      </c>
      <c r="AV139" s="31" t="b">
        <v>0</v>
      </c>
      <c r="AW139" s="33">
        <v>2</v>
      </c>
      <c r="AX139"/>
      <c r="BA139" s="44" t="str">
        <f t="shared" ca="1" si="30"/>
        <v>NGT_TO</v>
      </c>
      <c r="BB139" s="44" t="str">
        <f t="shared" si="27"/>
        <v>Fixed Inputs</v>
      </c>
      <c r="BC139" s="44" t="str">
        <f t="shared" si="29"/>
        <v>Variant allowances</v>
      </c>
      <c r="BD139" s="44" t="str">
        <f t="shared" si="28"/>
        <v>Variant attributes</v>
      </c>
    </row>
    <row r="140" spans="5:56" ht="16.5">
      <c r="E140" s="43" t="s">
        <v>842</v>
      </c>
      <c r="F140" s="43" t="s">
        <v>52</v>
      </c>
      <c r="G140" s="43" t="s">
        <v>148</v>
      </c>
      <c r="H140" s="43" t="s">
        <v>900</v>
      </c>
      <c r="AU140" s="163" t="b">
        <v>1</v>
      </c>
      <c r="AV140" s="31" t="b">
        <v>0</v>
      </c>
      <c r="AW140" s="33">
        <v>2</v>
      </c>
      <c r="AX140"/>
      <c r="BA140" s="44" t="str">
        <f t="shared" ca="1" si="30"/>
        <v>NGT_TO</v>
      </c>
      <c r="BB140" s="44" t="str">
        <f t="shared" si="27"/>
        <v>Fixed Inputs</v>
      </c>
      <c r="BC140" s="44" t="str">
        <f t="shared" si="29"/>
        <v>Variant allowances</v>
      </c>
      <c r="BD140" s="44" t="str">
        <f t="shared" si="28"/>
        <v>Variant attributes</v>
      </c>
    </row>
    <row r="141" spans="5:56" ht="16.5">
      <c r="E141" s="43" t="s">
        <v>260</v>
      </c>
      <c r="F141" s="43" t="s">
        <v>58</v>
      </c>
      <c r="G141" s="43" t="s">
        <v>148</v>
      </c>
      <c r="H141" s="43" t="s">
        <v>901</v>
      </c>
      <c r="AU141" s="163" t="b">
        <v>1</v>
      </c>
      <c r="AV141" s="31" t="b">
        <v>1</v>
      </c>
      <c r="AW141" s="33">
        <v>1</v>
      </c>
      <c r="AX141"/>
      <c r="BA141" s="44" t="str">
        <f t="shared" ca="1" si="30"/>
        <v>NGT_TO</v>
      </c>
      <c r="BB141" s="44" t="str">
        <f t="shared" si="27"/>
        <v>Fixed Inputs</v>
      </c>
      <c r="BC141" s="44" t="str">
        <f t="shared" si="29"/>
        <v>Variant allowances</v>
      </c>
      <c r="BD141" s="44" t="str">
        <f t="shared" si="28"/>
        <v>Variant attributes</v>
      </c>
    </row>
    <row r="142" spans="5:56" ht="16.5">
      <c r="E142" s="43" t="s">
        <v>843</v>
      </c>
      <c r="F142" s="43" t="s">
        <v>42</v>
      </c>
      <c r="G142" s="43" t="s">
        <v>148</v>
      </c>
      <c r="H142" s="43" t="s">
        <v>902</v>
      </c>
      <c r="AU142" s="163" t="b">
        <v>1</v>
      </c>
      <c r="AV142" s="31" t="b">
        <v>1</v>
      </c>
      <c r="AW142" s="33">
        <v>1</v>
      </c>
      <c r="AX142"/>
      <c r="BA142" s="44" t="str">
        <f t="shared" ca="1" si="30"/>
        <v>NGT_TO</v>
      </c>
      <c r="BB142" s="44" t="str">
        <f t="shared" si="27"/>
        <v>Fixed Inputs</v>
      </c>
      <c r="BC142" s="44" t="str">
        <f t="shared" si="29"/>
        <v>Variant allowances</v>
      </c>
      <c r="BD142" s="44" t="str">
        <f t="shared" si="28"/>
        <v>Variant attributes</v>
      </c>
    </row>
    <row r="143" spans="5:56" ht="16.5">
      <c r="E143" s="43" t="s">
        <v>844</v>
      </c>
      <c r="F143" s="43" t="s">
        <v>43</v>
      </c>
      <c r="G143" s="43" t="s">
        <v>148</v>
      </c>
      <c r="H143" s="43" t="s">
        <v>903</v>
      </c>
      <c r="AU143" s="163" t="b">
        <v>1</v>
      </c>
      <c r="AV143" s="31" t="b">
        <v>1</v>
      </c>
      <c r="AW143" s="33">
        <v>1</v>
      </c>
      <c r="AX143"/>
      <c r="BA143" s="44" t="str">
        <f t="shared" ca="1" si="30"/>
        <v>NGT_TO</v>
      </c>
      <c r="BB143" s="44" t="str">
        <f t="shared" si="27"/>
        <v>Fixed Inputs</v>
      </c>
      <c r="BC143" s="44" t="str">
        <f t="shared" si="29"/>
        <v>Variant allowances</v>
      </c>
      <c r="BD143" s="44" t="str">
        <f t="shared" si="28"/>
        <v>Variant attributes</v>
      </c>
    </row>
    <row r="144" spans="5:56" ht="16.5">
      <c r="E144" s="43" t="s">
        <v>845</v>
      </c>
      <c r="F144" s="43" t="s">
        <v>43</v>
      </c>
      <c r="G144" s="43" t="s">
        <v>148</v>
      </c>
      <c r="H144" s="43" t="s">
        <v>904</v>
      </c>
      <c r="AU144" s="163" t="b">
        <v>1</v>
      </c>
      <c r="AV144" s="31" t="b">
        <v>1</v>
      </c>
      <c r="AW144" s="33">
        <v>2</v>
      </c>
      <c r="AX144"/>
      <c r="BA144" s="44" t="str">
        <f t="shared" ca="1" si="30"/>
        <v>NGT_TO</v>
      </c>
      <c r="BB144" s="44" t="str">
        <f t="shared" si="27"/>
        <v>Fixed Inputs</v>
      </c>
      <c r="BC144" s="44" t="str">
        <f t="shared" si="29"/>
        <v>Variant allowances</v>
      </c>
      <c r="BD144" s="44" t="str">
        <f t="shared" si="28"/>
        <v>Variant attributes</v>
      </c>
    </row>
    <row r="145" spans="5:56" ht="16.5">
      <c r="E145" s="43" t="s">
        <v>846</v>
      </c>
      <c r="F145" s="43" t="s">
        <v>44</v>
      </c>
      <c r="G145" s="43" t="s">
        <v>148</v>
      </c>
      <c r="H145" s="43" t="s">
        <v>905</v>
      </c>
      <c r="AU145" s="163" t="b">
        <v>1</v>
      </c>
      <c r="AV145" s="31" t="b">
        <v>1</v>
      </c>
      <c r="AW145" s="33">
        <v>2</v>
      </c>
      <c r="AX145"/>
      <c r="BA145" s="44" t="str">
        <f t="shared" ca="1" si="30"/>
        <v>NGT_TO</v>
      </c>
      <c r="BB145" s="44" t="str">
        <f t="shared" si="27"/>
        <v>Fixed Inputs</v>
      </c>
      <c r="BC145" s="44" t="str">
        <f t="shared" si="29"/>
        <v>Variant allowances</v>
      </c>
      <c r="BD145" s="44" t="str">
        <f t="shared" si="28"/>
        <v>Variant attributes</v>
      </c>
    </row>
    <row r="146" spans="5:56" ht="16.5">
      <c r="E146" s="43" t="s">
        <v>847</v>
      </c>
      <c r="F146" s="43" t="s">
        <v>45</v>
      </c>
      <c r="G146" s="43" t="s">
        <v>148</v>
      </c>
      <c r="H146" s="43" t="s">
        <v>906</v>
      </c>
      <c r="AU146" s="163" t="b">
        <v>1</v>
      </c>
      <c r="AV146" s="31" t="b">
        <v>1</v>
      </c>
      <c r="AW146" s="33">
        <v>1</v>
      </c>
      <c r="AX146"/>
      <c r="BA146" s="44" t="str">
        <f t="shared" ca="1" si="30"/>
        <v>NGT_TO</v>
      </c>
      <c r="BB146" s="44" t="str">
        <f t="shared" si="27"/>
        <v>Fixed Inputs</v>
      </c>
      <c r="BC146" s="44" t="str">
        <f t="shared" si="29"/>
        <v>Variant allowances</v>
      </c>
      <c r="BD146" s="44" t="str">
        <f t="shared" si="28"/>
        <v>Variant attributes</v>
      </c>
    </row>
    <row r="147" spans="5:56" ht="16.5">
      <c r="E147" s="43" t="s">
        <v>1130</v>
      </c>
      <c r="F147" s="43" t="s">
        <v>53</v>
      </c>
      <c r="G147" s="43" t="s">
        <v>148</v>
      </c>
      <c r="H147" s="43" t="s">
        <v>907</v>
      </c>
      <c r="AU147" s="163" t="b">
        <v>1</v>
      </c>
      <c r="AV147" s="31" t="b">
        <v>0</v>
      </c>
      <c r="AW147" s="33">
        <v>2</v>
      </c>
      <c r="AX147"/>
      <c r="BA147" s="44" t="str">
        <f t="shared" ca="1" si="30"/>
        <v>NGT_TO</v>
      </c>
      <c r="BB147" s="44" t="str">
        <f t="shared" si="27"/>
        <v>Fixed Inputs</v>
      </c>
      <c r="BC147" s="44" t="str">
        <f t="shared" si="29"/>
        <v>Variant allowances</v>
      </c>
      <c r="BD147" s="44" t="str">
        <f t="shared" si="28"/>
        <v>Variant attributes</v>
      </c>
    </row>
    <row r="148" spans="5:56" ht="16.5">
      <c r="E148" s="43" t="s">
        <v>848</v>
      </c>
      <c r="F148" s="43" t="s">
        <v>55</v>
      </c>
      <c r="G148" s="43" t="s">
        <v>148</v>
      </c>
      <c r="H148" s="43" t="s">
        <v>908</v>
      </c>
      <c r="AU148" s="163" t="b">
        <v>0</v>
      </c>
      <c r="AV148" s="31" t="b">
        <v>0</v>
      </c>
      <c r="AW148" s="33">
        <v>1</v>
      </c>
      <c r="AX148"/>
      <c r="BA148" s="44" t="str">
        <f t="shared" ca="1" si="30"/>
        <v>NGT_TO</v>
      </c>
      <c r="BB148" s="44" t="str">
        <f t="shared" si="27"/>
        <v>Fixed Inputs</v>
      </c>
      <c r="BC148" s="44" t="str">
        <f t="shared" si="29"/>
        <v>Variant allowances</v>
      </c>
      <c r="BD148" s="44" t="str">
        <f t="shared" si="28"/>
        <v>Variant attributes</v>
      </c>
    </row>
    <row r="149" spans="5:56" ht="16.5">
      <c r="E149" s="43" t="s">
        <v>849</v>
      </c>
      <c r="F149" s="43" t="s">
        <v>50</v>
      </c>
      <c r="G149" s="43" t="s">
        <v>148</v>
      </c>
      <c r="H149" s="43" t="s">
        <v>909</v>
      </c>
      <c r="AU149" s="163" t="b">
        <v>0</v>
      </c>
      <c r="AV149" s="31" t="b">
        <v>0</v>
      </c>
      <c r="AW149" s="33">
        <v>1</v>
      </c>
      <c r="AX149"/>
      <c r="BA149" s="44" t="str">
        <f t="shared" ca="1" si="30"/>
        <v>NGT_TO</v>
      </c>
      <c r="BB149" s="44" t="str">
        <f t="shared" si="27"/>
        <v>Fixed Inputs</v>
      </c>
      <c r="BC149" s="44" t="str">
        <f t="shared" si="29"/>
        <v>Variant allowances</v>
      </c>
      <c r="BD149" s="44" t="str">
        <f t="shared" si="28"/>
        <v>Variant attributes</v>
      </c>
    </row>
    <row r="150" spans="5:56" ht="16.5">
      <c r="E150" s="43" t="s">
        <v>850</v>
      </c>
      <c r="F150" s="43" t="s">
        <v>51</v>
      </c>
      <c r="G150" s="43" t="s">
        <v>148</v>
      </c>
      <c r="H150" s="43" t="s">
        <v>910</v>
      </c>
      <c r="AU150" s="163" t="b">
        <v>1</v>
      </c>
      <c r="AV150" s="31" t="b">
        <v>1</v>
      </c>
      <c r="AW150" s="33">
        <v>1</v>
      </c>
      <c r="AX150"/>
      <c r="BA150" s="44" t="str">
        <f t="shared" ca="1" si="30"/>
        <v>NGT_TO</v>
      </c>
      <c r="BB150" s="44" t="str">
        <f t="shared" si="27"/>
        <v>Fixed Inputs</v>
      </c>
      <c r="BC150" s="44" t="str">
        <f t="shared" si="29"/>
        <v>Variant allowances</v>
      </c>
      <c r="BD150" s="44" t="str">
        <f t="shared" si="28"/>
        <v>Variant attributes</v>
      </c>
    </row>
    <row r="151" spans="5:56" ht="16.5">
      <c r="E151" s="43" t="s">
        <v>851</v>
      </c>
      <c r="F151" s="43" t="s">
        <v>56</v>
      </c>
      <c r="G151" s="43" t="s">
        <v>148</v>
      </c>
      <c r="H151" s="43" t="s">
        <v>911</v>
      </c>
      <c r="AU151" s="163" t="b">
        <v>1</v>
      </c>
      <c r="AV151" s="31" t="b">
        <v>1</v>
      </c>
      <c r="AW151" s="33">
        <v>1</v>
      </c>
      <c r="AX151"/>
      <c r="BA151" s="44" t="str">
        <f t="shared" ca="1" si="30"/>
        <v>NGT_TO</v>
      </c>
      <c r="BB151" s="44" t="str">
        <f t="shared" si="27"/>
        <v>Fixed Inputs</v>
      </c>
      <c r="BC151" s="44" t="str">
        <f t="shared" si="29"/>
        <v>Variant allowances</v>
      </c>
      <c r="BD151" s="44" t="str">
        <f t="shared" si="28"/>
        <v>Variant attributes</v>
      </c>
    </row>
    <row r="152" spans="5:56" ht="16.5">
      <c r="E152" s="43" t="s">
        <v>852</v>
      </c>
      <c r="F152" s="43" t="s">
        <v>56</v>
      </c>
      <c r="G152" s="43" t="s">
        <v>148</v>
      </c>
      <c r="H152" s="43" t="s">
        <v>912</v>
      </c>
      <c r="AU152" s="163" t="b">
        <v>1</v>
      </c>
      <c r="AV152" s="31" t="b">
        <v>0</v>
      </c>
      <c r="AW152" s="33">
        <v>2</v>
      </c>
      <c r="AX152"/>
      <c r="BA152" s="44" t="str">
        <f t="shared" ca="1" si="30"/>
        <v>NGT_TO</v>
      </c>
      <c r="BB152" s="44" t="str">
        <f t="shared" si="27"/>
        <v>Fixed Inputs</v>
      </c>
      <c r="BC152" s="44" t="str">
        <f t="shared" si="29"/>
        <v>Variant allowances</v>
      </c>
      <c r="BD152" s="44" t="str">
        <f t="shared" si="28"/>
        <v>Variant attributes</v>
      </c>
    </row>
    <row r="153" spans="5:56" ht="16.5">
      <c r="E153" s="43" t="s">
        <v>853</v>
      </c>
      <c r="F153" s="43" t="s">
        <v>863</v>
      </c>
      <c r="G153" s="43" t="s">
        <v>148</v>
      </c>
      <c r="H153" s="43" t="s">
        <v>913</v>
      </c>
      <c r="AU153" s="163" t="b">
        <v>1</v>
      </c>
      <c r="AV153" s="31" t="b">
        <v>1</v>
      </c>
      <c r="AW153" s="33">
        <v>2</v>
      </c>
      <c r="AX153"/>
      <c r="BA153" s="44" t="str">
        <f t="shared" ca="1" si="30"/>
        <v>NGT_TO</v>
      </c>
      <c r="BB153" s="44" t="str">
        <f t="shared" si="27"/>
        <v>Fixed Inputs</v>
      </c>
      <c r="BC153" s="44" t="str">
        <f t="shared" si="29"/>
        <v>Variant allowances</v>
      </c>
      <c r="BD153" s="44" t="str">
        <f t="shared" si="28"/>
        <v>Variant attributes</v>
      </c>
    </row>
    <row r="154" spans="5:56" ht="16.5">
      <c r="E154" s="43" t="s">
        <v>854</v>
      </c>
      <c r="F154" s="43" t="s">
        <v>864</v>
      </c>
      <c r="G154" s="43" t="s">
        <v>148</v>
      </c>
      <c r="H154" s="43" t="s">
        <v>914</v>
      </c>
      <c r="AU154" s="163" t="b">
        <v>1</v>
      </c>
      <c r="AV154" s="31" t="b">
        <v>0</v>
      </c>
      <c r="AW154" s="33">
        <v>2</v>
      </c>
      <c r="AX154"/>
      <c r="BA154" s="44" t="str">
        <f t="shared" ca="1" si="30"/>
        <v>NGT_TO</v>
      </c>
      <c r="BB154" s="44" t="str">
        <f t="shared" si="27"/>
        <v>Fixed Inputs</v>
      </c>
      <c r="BC154" s="44" t="str">
        <f t="shared" si="29"/>
        <v>Variant allowances</v>
      </c>
      <c r="BD154" s="44" t="str">
        <f t="shared" si="28"/>
        <v>Variant attributes</v>
      </c>
    </row>
    <row r="155" spans="5:56" ht="16.5">
      <c r="E155" s="43" t="s">
        <v>855</v>
      </c>
      <c r="F155" s="43" t="s">
        <v>865</v>
      </c>
      <c r="G155" s="43" t="s">
        <v>148</v>
      </c>
      <c r="H155" s="43" t="s">
        <v>915</v>
      </c>
      <c r="AU155" s="163" t="b">
        <v>1</v>
      </c>
      <c r="AV155" s="31" t="b">
        <v>0</v>
      </c>
      <c r="AW155" s="33">
        <v>2</v>
      </c>
      <c r="AX155"/>
      <c r="BA155" s="44" t="str">
        <f t="shared" ca="1" si="30"/>
        <v>NGT_TO</v>
      </c>
      <c r="BB155" s="44" t="str">
        <f t="shared" si="27"/>
        <v>Fixed Inputs</v>
      </c>
      <c r="BC155" s="44" t="str">
        <f t="shared" si="29"/>
        <v>Variant allowances</v>
      </c>
      <c r="BD155" s="44" t="str">
        <f t="shared" si="28"/>
        <v>Variant attributes</v>
      </c>
    </row>
    <row r="156" spans="5:56" ht="16.5">
      <c r="E156" s="43" t="s">
        <v>856</v>
      </c>
      <c r="F156" s="43" t="s">
        <v>627</v>
      </c>
      <c r="G156" s="43" t="s">
        <v>148</v>
      </c>
      <c r="H156" s="43" t="s">
        <v>916</v>
      </c>
      <c r="AU156" s="163" t="b">
        <v>1</v>
      </c>
      <c r="AV156" s="31" t="b">
        <v>0</v>
      </c>
      <c r="AW156" s="33">
        <v>2</v>
      </c>
      <c r="AX156"/>
      <c r="BA156" s="44" t="str">
        <f t="shared" ca="1" si="30"/>
        <v>NGT_TO</v>
      </c>
      <c r="BB156" s="44" t="str">
        <f t="shared" si="27"/>
        <v>Fixed Inputs</v>
      </c>
      <c r="BC156" s="44" t="str">
        <f t="shared" si="29"/>
        <v>Variant allowances</v>
      </c>
      <c r="BD156" s="44" t="str">
        <f t="shared" si="28"/>
        <v>Variant attributes</v>
      </c>
    </row>
    <row r="157" spans="5:56" ht="16.5">
      <c r="E157" s="43" t="s">
        <v>857</v>
      </c>
      <c r="F157" s="43" t="s">
        <v>866</v>
      </c>
      <c r="G157" s="43" t="s">
        <v>148</v>
      </c>
      <c r="H157" s="43" t="s">
        <v>917</v>
      </c>
      <c r="AU157" s="163" t="b">
        <v>1</v>
      </c>
      <c r="AV157" s="31" t="b">
        <v>0</v>
      </c>
      <c r="AW157" s="33">
        <v>2</v>
      </c>
      <c r="AX157"/>
      <c r="BA157" s="44" t="str">
        <f t="shared" ca="1" si="30"/>
        <v>NGT_TO</v>
      </c>
      <c r="BB157" s="44" t="str">
        <f t="shared" si="27"/>
        <v>Fixed Inputs</v>
      </c>
      <c r="BC157" s="44" t="str">
        <f t="shared" si="29"/>
        <v>Variant allowances</v>
      </c>
      <c r="BD157" s="44" t="str">
        <f t="shared" si="28"/>
        <v>Variant attributes</v>
      </c>
    </row>
    <row r="158" spans="5:56" ht="16.5">
      <c r="E158" s="43" t="s">
        <v>858</v>
      </c>
      <c r="F158" s="43" t="s">
        <v>867</v>
      </c>
      <c r="G158" s="43" t="s">
        <v>148</v>
      </c>
      <c r="H158" s="43" t="s">
        <v>918</v>
      </c>
      <c r="AU158" s="163" t="b">
        <v>1</v>
      </c>
      <c r="AV158" s="31" t="b">
        <v>1</v>
      </c>
      <c r="AW158" s="33">
        <v>1</v>
      </c>
      <c r="AX158"/>
      <c r="BA158" s="44" t="str">
        <f t="shared" ca="1" si="30"/>
        <v>NGT_TO</v>
      </c>
      <c r="BB158" s="44" t="str">
        <f t="shared" si="27"/>
        <v>Fixed Inputs</v>
      </c>
      <c r="BC158" s="44" t="str">
        <f t="shared" si="29"/>
        <v>Variant allowances</v>
      </c>
      <c r="BD158" s="44" t="str">
        <f t="shared" si="28"/>
        <v>Variant attributes</v>
      </c>
    </row>
    <row r="159" spans="5:56" ht="16.5">
      <c r="E159" s="43" t="s">
        <v>859</v>
      </c>
      <c r="F159" s="43" t="s">
        <v>868</v>
      </c>
      <c r="G159" s="43" t="s">
        <v>148</v>
      </c>
      <c r="H159" s="43" t="s">
        <v>919</v>
      </c>
      <c r="AU159" s="163" t="b">
        <v>1</v>
      </c>
      <c r="AV159" s="31" t="b">
        <v>1</v>
      </c>
      <c r="AW159" s="33">
        <v>1</v>
      </c>
      <c r="AX159"/>
      <c r="BA159" s="44" t="str">
        <f t="shared" ca="1" si="30"/>
        <v>NGT_TO</v>
      </c>
      <c r="BB159" s="44" t="str">
        <f t="shared" si="27"/>
        <v>Fixed Inputs</v>
      </c>
      <c r="BC159" s="44" t="str">
        <f t="shared" si="29"/>
        <v>Variant allowances</v>
      </c>
      <c r="BD159" s="44" t="str">
        <f t="shared" si="28"/>
        <v>Variant attributes</v>
      </c>
    </row>
    <row r="160" spans="5:56" ht="16.5">
      <c r="E160" s="43" t="s">
        <v>860</v>
      </c>
      <c r="F160" s="43" t="s">
        <v>869</v>
      </c>
      <c r="G160" s="43" t="s">
        <v>148</v>
      </c>
      <c r="H160" s="43" t="s">
        <v>920</v>
      </c>
      <c r="AU160" s="163" t="b">
        <v>1</v>
      </c>
      <c r="AV160" s="31" t="b">
        <v>1</v>
      </c>
      <c r="AW160" s="33">
        <v>1</v>
      </c>
      <c r="AX160"/>
      <c r="BA160" s="44" t="str">
        <f t="shared" ca="1" si="30"/>
        <v>NGT_TO</v>
      </c>
      <c r="BB160" s="44" t="str">
        <f t="shared" si="27"/>
        <v>Fixed Inputs</v>
      </c>
      <c r="BC160" s="44" t="str">
        <f t="shared" si="29"/>
        <v>Variant allowances</v>
      </c>
      <c r="BD160" s="44" t="str">
        <f t="shared" si="28"/>
        <v>Variant attributes</v>
      </c>
    </row>
    <row r="161" spans="3:56" ht="16.5">
      <c r="E161" s="43" t="s">
        <v>861</v>
      </c>
      <c r="F161" s="43" t="s">
        <v>870</v>
      </c>
      <c r="G161" s="43" t="s">
        <v>148</v>
      </c>
      <c r="H161" s="43" t="s">
        <v>921</v>
      </c>
      <c r="AU161" s="163" t="b">
        <v>1</v>
      </c>
      <c r="AV161" s="31" t="b">
        <v>1</v>
      </c>
      <c r="AW161" s="33">
        <v>1</v>
      </c>
      <c r="AX161"/>
      <c r="BA161" s="44" t="str">
        <f t="shared" ca="1" si="30"/>
        <v>NGT_TO</v>
      </c>
      <c r="BB161" s="44" t="str">
        <f t="shared" si="27"/>
        <v>Fixed Inputs</v>
      </c>
      <c r="BC161" s="44" t="str">
        <f t="shared" si="29"/>
        <v>Variant allowances</v>
      </c>
      <c r="BD161" s="44" t="str">
        <f t="shared" si="28"/>
        <v>Variant attributes</v>
      </c>
    </row>
    <row r="162" spans="3:56" ht="16.5">
      <c r="E162" s="43" t="s">
        <v>862</v>
      </c>
      <c r="F162" s="43" t="s">
        <v>871</v>
      </c>
      <c r="G162" s="43" t="s">
        <v>148</v>
      </c>
      <c r="H162" s="43" t="s">
        <v>922</v>
      </c>
      <c r="AU162" s="163" t="b">
        <v>1</v>
      </c>
      <c r="AV162" s="31" t="b">
        <v>0</v>
      </c>
      <c r="AW162" s="33">
        <v>2</v>
      </c>
      <c r="AX162"/>
      <c r="BA162" s="44" t="str">
        <f t="shared" ca="1" si="30"/>
        <v>NGT_TO</v>
      </c>
      <c r="BB162" s="44" t="str">
        <f t="shared" si="27"/>
        <v>Fixed Inputs</v>
      </c>
      <c r="BC162" s="44" t="str">
        <f t="shared" si="29"/>
        <v>Variant allowances</v>
      </c>
      <c r="BD162" s="44" t="str">
        <f t="shared" si="28"/>
        <v>Variant attributes</v>
      </c>
    </row>
    <row r="163" spans="3:56">
      <c r="E163" s="43" t="s">
        <v>1012</v>
      </c>
      <c r="G163" s="43" t="s">
        <v>148</v>
      </c>
      <c r="AU163" s="163"/>
      <c r="AV163" s="31"/>
      <c r="AW163" s="33"/>
      <c r="AX163"/>
      <c r="BA163" s="44" t="str">
        <f t="shared" ca="1" si="30"/>
        <v>NGT_TO</v>
      </c>
      <c r="BB163" s="44" t="str">
        <f t="shared" si="27"/>
        <v>Fixed Inputs</v>
      </c>
      <c r="BC163" s="44" t="str">
        <f t="shared" si="29"/>
        <v>Variant allowances</v>
      </c>
      <c r="BD163" s="44" t="str">
        <f t="shared" si="28"/>
        <v>Variant attributes</v>
      </c>
    </row>
    <row r="164" spans="3:56">
      <c r="E164" s="43" t="s">
        <v>255</v>
      </c>
      <c r="G164" s="43" t="s">
        <v>148</v>
      </c>
      <c r="AU164" s="163"/>
      <c r="AV164" s="31"/>
      <c r="AW164" s="33"/>
      <c r="AX164"/>
      <c r="BA164" s="44" t="str">
        <f t="shared" ca="1" si="30"/>
        <v>NGT_TO</v>
      </c>
      <c r="BB164" s="44" t="str">
        <f t="shared" si="27"/>
        <v>Fixed Inputs</v>
      </c>
      <c r="BC164" s="44" t="str">
        <f t="shared" si="29"/>
        <v>Variant allowances</v>
      </c>
      <c r="BD164" s="44" t="str">
        <f t="shared" si="28"/>
        <v>Variant attributes</v>
      </c>
    </row>
    <row r="165" spans="3:56">
      <c r="E165" s="43" t="s">
        <v>256</v>
      </c>
      <c r="G165" s="43" t="s">
        <v>148</v>
      </c>
      <c r="AU165" s="163"/>
      <c r="AV165" s="31"/>
      <c r="AW165" s="33"/>
      <c r="AX165"/>
      <c r="BA165" s="44" t="str">
        <f t="shared" ca="1" si="30"/>
        <v>NGT_TO</v>
      </c>
      <c r="BB165" s="44" t="str">
        <f t="shared" si="27"/>
        <v>Fixed Inputs</v>
      </c>
      <c r="BC165" s="44" t="str">
        <f t="shared" si="29"/>
        <v>Variant allowances</v>
      </c>
      <c r="BD165" s="44" t="str">
        <f t="shared" si="28"/>
        <v>Variant attributes</v>
      </c>
    </row>
    <row r="166" spans="3:56">
      <c r="E166" s="43" t="s">
        <v>1155</v>
      </c>
      <c r="G166" s="43" t="s">
        <v>148</v>
      </c>
      <c r="AU166" s="163"/>
      <c r="AV166" s="31"/>
      <c r="AW166" s="33"/>
      <c r="AX166"/>
      <c r="BA166" s="44" t="str">
        <f t="shared" ca="1" si="30"/>
        <v>NGT_TO</v>
      </c>
      <c r="BB166" s="44" t="str">
        <f t="shared" si="27"/>
        <v>Fixed Inputs</v>
      </c>
      <c r="BC166" s="44" t="str">
        <f t="shared" si="29"/>
        <v>Variant allowances</v>
      </c>
      <c r="BD166" s="44" t="str">
        <f t="shared" si="28"/>
        <v>Variant attributes</v>
      </c>
    </row>
    <row r="167" spans="3:56">
      <c r="E167" s="43" t="s">
        <v>1156</v>
      </c>
      <c r="G167" s="43" t="s">
        <v>148</v>
      </c>
      <c r="AU167" s="163"/>
      <c r="AV167" s="31"/>
      <c r="AW167" s="33"/>
      <c r="AX167"/>
      <c r="BA167" s="44" t="str">
        <f t="shared" ca="1" si="30"/>
        <v>NGT_TO</v>
      </c>
      <c r="BB167" s="44" t="str">
        <f t="shared" si="27"/>
        <v>Fixed Inputs</v>
      </c>
      <c r="BC167" s="44" t="str">
        <f t="shared" si="29"/>
        <v>Variant allowances</v>
      </c>
      <c r="BD167" s="44" t="str">
        <f t="shared" si="28"/>
        <v>Variant attributes</v>
      </c>
    </row>
    <row r="168" spans="3:56">
      <c r="E168" s="43" t="s">
        <v>1157</v>
      </c>
      <c r="G168" s="43" t="s">
        <v>148</v>
      </c>
      <c r="AU168" s="163"/>
      <c r="AV168" s="31"/>
      <c r="AW168" s="33"/>
      <c r="AX168"/>
      <c r="BA168" s="44" t="str">
        <f t="shared" ca="1" si="30"/>
        <v>NGT_TO</v>
      </c>
      <c r="BB168" s="44" t="str">
        <f t="shared" si="27"/>
        <v>Fixed Inputs</v>
      </c>
      <c r="BC168" s="44" t="str">
        <f t="shared" si="29"/>
        <v>Variant allowances</v>
      </c>
      <c r="BD168" s="44" t="str">
        <f t="shared" si="28"/>
        <v>Variant attributes</v>
      </c>
    </row>
    <row r="169" spans="3:56">
      <c r="E169" s="43" t="s">
        <v>1158</v>
      </c>
      <c r="G169" s="43" t="s">
        <v>148</v>
      </c>
      <c r="AU169" s="163"/>
      <c r="AV169" s="31"/>
      <c r="AW169" s="33"/>
      <c r="AX169"/>
      <c r="BA169" s="44" t="str">
        <f t="shared" ca="1" si="30"/>
        <v>NGT_TO</v>
      </c>
      <c r="BB169" s="44" t="str">
        <f t="shared" si="27"/>
        <v>Fixed Inputs</v>
      </c>
      <c r="BC169" s="44" t="str">
        <f t="shared" si="29"/>
        <v>Variant allowances</v>
      </c>
      <c r="BD169" s="44" t="str">
        <f t="shared" si="28"/>
        <v>Variant attributes</v>
      </c>
    </row>
    <row r="170" spans="3:56">
      <c r="E170" s="43" t="s">
        <v>1159</v>
      </c>
      <c r="G170" s="43" t="s">
        <v>148</v>
      </c>
      <c r="AU170" s="163"/>
      <c r="AV170" s="31"/>
      <c r="AW170" s="33"/>
      <c r="AX170"/>
      <c r="BA170" s="44" t="str">
        <f t="shared" ca="1" si="30"/>
        <v>NGT_TO</v>
      </c>
      <c r="BB170" s="44" t="str">
        <f t="shared" si="27"/>
        <v>Fixed Inputs</v>
      </c>
      <c r="BC170" s="44" t="str">
        <f t="shared" si="29"/>
        <v>Variant allowances</v>
      </c>
      <c r="BD170" s="44" t="str">
        <f t="shared" si="28"/>
        <v>Variant attributes</v>
      </c>
    </row>
    <row r="171" spans="3:56">
      <c r="AX171"/>
    </row>
    <row r="172" spans="3:56" ht="16.5" thickBot="1">
      <c r="C172" s="12" t="s">
        <v>63</v>
      </c>
    </row>
    <row r="173" spans="3:56">
      <c r="E173" s="195" t="str" cm="1">
        <f t="array" ref="E173">INDEX($E$128:$E$170,INT((ROW()-ROW($E$173))/6)+1)</f>
        <v>Baseline Network Risk Output</v>
      </c>
      <c r="F173" s="196"/>
      <c r="G173" s="196" t="s">
        <v>33</v>
      </c>
      <c r="H173" s="196" t="s">
        <v>331</v>
      </c>
      <c r="I173" s="196"/>
      <c r="J173" s="196"/>
      <c r="K173" s="196"/>
      <c r="L173" s="196"/>
      <c r="M173" s="196"/>
      <c r="N173" s="196"/>
      <c r="O173" s="196"/>
      <c r="P173" s="196"/>
      <c r="Q173" s="196"/>
      <c r="R173" s="196"/>
      <c r="S173" s="196"/>
      <c r="T173" s="196"/>
      <c r="U173" s="196"/>
      <c r="V173" s="196"/>
      <c r="W173" s="196"/>
      <c r="X173" s="196"/>
      <c r="Y173" s="196"/>
      <c r="Z173" s="196"/>
      <c r="AA173" s="196"/>
      <c r="AB173" s="196"/>
      <c r="AC173" s="196"/>
      <c r="AD173" s="196"/>
      <c r="AE173" s="196"/>
      <c r="AF173" s="196"/>
      <c r="AG173" s="196"/>
      <c r="AH173" s="196"/>
      <c r="AI173" s="196"/>
      <c r="AJ173" s="196"/>
      <c r="AK173" s="196"/>
      <c r="AL173" s="196"/>
      <c r="AM173" s="196"/>
      <c r="AN173" s="196"/>
      <c r="AO173" s="196"/>
      <c r="AP173" s="196"/>
      <c r="AQ173" s="196"/>
      <c r="AR173" s="196"/>
      <c r="AS173" s="196"/>
      <c r="AT173" s="197"/>
      <c r="AU173" s="209">
        <v>0</v>
      </c>
      <c r="AV173" s="210">
        <v>0</v>
      </c>
      <c r="AW173" s="210">
        <v>0</v>
      </c>
      <c r="AX173" s="210">
        <v>0</v>
      </c>
      <c r="AY173" s="211">
        <v>0</v>
      </c>
      <c r="BA173" s="44" t="str">
        <f t="shared" ref="BA173:BA209" ca="1" si="31">$A$1</f>
        <v>NGT_TO</v>
      </c>
      <c r="BB173" s="44" t="str">
        <f t="shared" ref="BB173:BB204" si="32">$A$125</f>
        <v>Fixed Inputs</v>
      </c>
      <c r="BC173" s="44" t="str">
        <f t="shared" ref="BC173:BC236" si="33">$B$126</f>
        <v>Variant allowances</v>
      </c>
      <c r="BD173" s="44" t="str">
        <f t="shared" ref="BD173:BD204" si="34">$C$172</f>
        <v>Totex variant allowances allocation percentages</v>
      </c>
    </row>
    <row r="174" spans="3:56">
      <c r="E174" s="212" t="str" cm="1">
        <f t="array" ref="E174">INDEX($E$128:$E$170,INT((ROW()-ROW($E$173))/6)+1)</f>
        <v>Baseline Network Risk Output</v>
      </c>
      <c r="G174" s="43" t="s">
        <v>33</v>
      </c>
      <c r="H174" s="43" t="s">
        <v>332</v>
      </c>
      <c r="AU174" s="165">
        <v>1</v>
      </c>
      <c r="AV174" s="32">
        <v>1</v>
      </c>
      <c r="AW174" s="32">
        <v>1</v>
      </c>
      <c r="AX174" s="32">
        <v>1</v>
      </c>
      <c r="AY174" s="213">
        <v>1</v>
      </c>
      <c r="BA174" s="44" t="str">
        <f t="shared" ca="1" si="31"/>
        <v>NGT_TO</v>
      </c>
      <c r="BB174" s="44" t="str">
        <f t="shared" si="32"/>
        <v>Fixed Inputs</v>
      </c>
      <c r="BC174" s="44" t="str">
        <f t="shared" si="33"/>
        <v>Variant allowances</v>
      </c>
      <c r="BD174" s="44" t="str">
        <f t="shared" si="34"/>
        <v>Totex variant allowances allocation percentages</v>
      </c>
    </row>
    <row r="175" spans="3:56">
      <c r="E175" s="212" t="str" cm="1">
        <f t="array" ref="E175">INDEX($E$128:$E$170,INT((ROW()-ROW($E$173))/6)+1)</f>
        <v>Baseline Network Risk Output</v>
      </c>
      <c r="G175" s="43" t="s">
        <v>33</v>
      </c>
      <c r="H175" s="43" t="s">
        <v>333</v>
      </c>
      <c r="AU175" s="165">
        <v>0</v>
      </c>
      <c r="AV175" s="32">
        <v>0</v>
      </c>
      <c r="AW175" s="32">
        <v>0</v>
      </c>
      <c r="AX175" s="32">
        <v>0</v>
      </c>
      <c r="AY175" s="213">
        <v>0</v>
      </c>
      <c r="BA175" s="44" t="str">
        <f t="shared" ca="1" si="31"/>
        <v>NGT_TO</v>
      </c>
      <c r="BB175" s="44" t="str">
        <f t="shared" si="32"/>
        <v>Fixed Inputs</v>
      </c>
      <c r="BC175" s="44" t="str">
        <f t="shared" si="33"/>
        <v>Variant allowances</v>
      </c>
      <c r="BD175" s="44" t="str">
        <f t="shared" si="34"/>
        <v>Totex variant allowances allocation percentages</v>
      </c>
    </row>
    <row r="176" spans="3:56">
      <c r="E176" s="212" t="str" cm="1">
        <f t="array" ref="E176">INDEX($E$128:$E$170,INT((ROW()-ROW($E$173))/6)+1)</f>
        <v>Baseline Network Risk Output</v>
      </c>
      <c r="G176" s="43" t="s">
        <v>33</v>
      </c>
      <c r="H176" s="43" t="s">
        <v>275</v>
      </c>
      <c r="AU176" s="165">
        <v>0</v>
      </c>
      <c r="AV176" s="32">
        <v>0</v>
      </c>
      <c r="AW176" s="32">
        <v>0</v>
      </c>
      <c r="AX176" s="32">
        <v>0</v>
      </c>
      <c r="AY176" s="213">
        <v>0</v>
      </c>
      <c r="BA176" s="44" t="str">
        <f t="shared" ca="1" si="31"/>
        <v>NGT_TO</v>
      </c>
      <c r="BB176" s="44" t="str">
        <f t="shared" si="32"/>
        <v>Fixed Inputs</v>
      </c>
      <c r="BC176" s="44" t="str">
        <f t="shared" si="33"/>
        <v>Variant allowances</v>
      </c>
      <c r="BD176" s="44" t="str">
        <f t="shared" si="34"/>
        <v>Totex variant allowances allocation percentages</v>
      </c>
    </row>
    <row r="177" spans="5:56">
      <c r="E177" s="212" t="str" cm="1">
        <f t="array" ref="E177">INDEX($E$128:$E$170,INT((ROW()-ROW($E$173))/6)+1)</f>
        <v>Baseline Network Risk Output</v>
      </c>
      <c r="G177" s="43" t="s">
        <v>33</v>
      </c>
      <c r="H177" s="43" t="s">
        <v>273</v>
      </c>
      <c r="AU177" s="165">
        <v>0</v>
      </c>
      <c r="AV177" s="32">
        <v>0</v>
      </c>
      <c r="AW177" s="32">
        <v>0</v>
      </c>
      <c r="AX177" s="32">
        <v>0</v>
      </c>
      <c r="AY177" s="213">
        <v>0</v>
      </c>
      <c r="BA177" s="44" t="str">
        <f t="shared" ca="1" si="31"/>
        <v>NGT_TO</v>
      </c>
      <c r="BB177" s="44" t="str">
        <f t="shared" si="32"/>
        <v>Fixed Inputs</v>
      </c>
      <c r="BC177" s="44" t="str">
        <f t="shared" si="33"/>
        <v>Variant allowances</v>
      </c>
      <c r="BD177" s="44" t="str">
        <f t="shared" si="34"/>
        <v>Totex variant allowances allocation percentages</v>
      </c>
    </row>
    <row r="178" spans="5:56">
      <c r="E178" s="212" t="str" cm="1">
        <f t="array" ref="E178">INDEX($E$128:$E$170,INT((ROW()-ROW($E$173))/6)+1)</f>
        <v>Baseline Network Risk Output</v>
      </c>
      <c r="G178" s="43" t="s">
        <v>33</v>
      </c>
      <c r="H178" s="43" t="s">
        <v>274</v>
      </c>
      <c r="AU178" s="217">
        <v>0</v>
      </c>
      <c r="AV178" s="218">
        <v>0</v>
      </c>
      <c r="AW178" s="218">
        <v>0</v>
      </c>
      <c r="AX178" s="218">
        <v>0</v>
      </c>
      <c r="AY178" s="219">
        <v>0</v>
      </c>
      <c r="BA178" s="44" t="str">
        <f t="shared" ca="1" si="31"/>
        <v>NGT_TO</v>
      </c>
      <c r="BB178" s="44" t="str">
        <f t="shared" si="32"/>
        <v>Fixed Inputs</v>
      </c>
      <c r="BC178" s="44" t="str">
        <f t="shared" si="33"/>
        <v>Variant allowances</v>
      </c>
      <c r="BD178" s="44" t="str">
        <f t="shared" si="34"/>
        <v>Totex variant allowances allocation percentages</v>
      </c>
    </row>
    <row r="179" spans="5:56">
      <c r="E179" s="195" t="str" cm="1">
        <f t="array" ref="E179">INDEX($E$128:$E$170,INT((ROW()-ROW($E$173))/6)+1)</f>
        <v>NARM Asset Health Re-opener</v>
      </c>
      <c r="F179" s="196"/>
      <c r="G179" s="196" t="s">
        <v>33</v>
      </c>
      <c r="H179" s="196" t="s">
        <v>331</v>
      </c>
      <c r="I179" s="196"/>
      <c r="J179" s="196"/>
      <c r="K179" s="196"/>
      <c r="L179" s="196"/>
      <c r="M179" s="196"/>
      <c r="N179" s="196"/>
      <c r="O179" s="196"/>
      <c r="P179" s="196"/>
      <c r="Q179" s="196"/>
      <c r="R179" s="196"/>
      <c r="S179" s="196"/>
      <c r="T179" s="196"/>
      <c r="U179" s="196"/>
      <c r="V179" s="196"/>
      <c r="W179" s="196"/>
      <c r="X179" s="196"/>
      <c r="Y179" s="196"/>
      <c r="Z179" s="196"/>
      <c r="AA179" s="196"/>
      <c r="AB179" s="196"/>
      <c r="AC179" s="196"/>
      <c r="AD179" s="196"/>
      <c r="AE179" s="196"/>
      <c r="AF179" s="196"/>
      <c r="AG179" s="196"/>
      <c r="AH179" s="196"/>
      <c r="AI179" s="196"/>
      <c r="AJ179" s="196"/>
      <c r="AK179" s="196"/>
      <c r="AL179" s="196"/>
      <c r="AM179" s="196"/>
      <c r="AN179" s="196"/>
      <c r="AO179" s="196"/>
      <c r="AP179" s="196"/>
      <c r="AQ179" s="196"/>
      <c r="AR179" s="196"/>
      <c r="AS179" s="196"/>
      <c r="AT179" s="197"/>
      <c r="AU179" s="198">
        <v>0</v>
      </c>
      <c r="AV179" s="199">
        <v>0</v>
      </c>
      <c r="AW179" s="199">
        <v>0</v>
      </c>
      <c r="AX179" s="199">
        <v>0</v>
      </c>
      <c r="AY179" s="200">
        <v>0</v>
      </c>
      <c r="BA179" s="44" t="str">
        <f t="shared" ca="1" si="31"/>
        <v>NGT_TO</v>
      </c>
      <c r="BB179" s="44" t="str">
        <f t="shared" si="32"/>
        <v>Fixed Inputs</v>
      </c>
      <c r="BC179" s="44" t="str">
        <f t="shared" si="33"/>
        <v>Variant allowances</v>
      </c>
      <c r="BD179" s="44" t="str">
        <f t="shared" si="34"/>
        <v>Totex variant allowances allocation percentages</v>
      </c>
    </row>
    <row r="180" spans="5:56">
      <c r="E180" s="212" t="str" cm="1">
        <f t="array" ref="E180">INDEX($E$128:$E$170,INT((ROW()-ROW($E$173))/6)+1)</f>
        <v>NARM Asset Health Re-opener</v>
      </c>
      <c r="G180" s="43" t="s">
        <v>33</v>
      </c>
      <c r="H180" s="43" t="s">
        <v>332</v>
      </c>
      <c r="AU180" s="164">
        <v>0</v>
      </c>
      <c r="AV180" s="29">
        <v>0</v>
      </c>
      <c r="AW180" s="29">
        <v>0</v>
      </c>
      <c r="AX180" s="29">
        <v>0</v>
      </c>
      <c r="AY180" s="184">
        <v>0</v>
      </c>
      <c r="BA180" s="44" t="str">
        <f t="shared" ca="1" si="31"/>
        <v>NGT_TO</v>
      </c>
      <c r="BB180" s="44" t="str">
        <f t="shared" si="32"/>
        <v>Fixed Inputs</v>
      </c>
      <c r="BC180" s="44" t="str">
        <f t="shared" si="33"/>
        <v>Variant allowances</v>
      </c>
      <c r="BD180" s="44" t="str">
        <f t="shared" si="34"/>
        <v>Totex variant allowances allocation percentages</v>
      </c>
    </row>
    <row r="181" spans="5:56">
      <c r="E181" s="212" t="str" cm="1">
        <f t="array" ref="E181">INDEX($E$128:$E$170,INT((ROW()-ROW($E$173))/6)+1)</f>
        <v>NARM Asset Health Re-opener</v>
      </c>
      <c r="G181" s="43" t="s">
        <v>33</v>
      </c>
      <c r="H181" s="43" t="s">
        <v>333</v>
      </c>
      <c r="AU181" s="164">
        <v>0</v>
      </c>
      <c r="AV181" s="29">
        <v>0</v>
      </c>
      <c r="AW181" s="29">
        <v>0</v>
      </c>
      <c r="AX181" s="29">
        <v>0</v>
      </c>
      <c r="AY181" s="184">
        <v>0</v>
      </c>
      <c r="BA181" s="44" t="str">
        <f t="shared" ca="1" si="31"/>
        <v>NGT_TO</v>
      </c>
      <c r="BB181" s="44" t="str">
        <f t="shared" si="32"/>
        <v>Fixed Inputs</v>
      </c>
      <c r="BC181" s="44" t="str">
        <f t="shared" si="33"/>
        <v>Variant allowances</v>
      </c>
      <c r="BD181" s="44" t="str">
        <f t="shared" si="34"/>
        <v>Totex variant allowances allocation percentages</v>
      </c>
    </row>
    <row r="182" spans="5:56">
      <c r="E182" s="212" t="str" cm="1">
        <f t="array" ref="E182">INDEX($E$128:$E$170,INT((ROW()-ROW($E$173))/6)+1)</f>
        <v>NARM Asset Health Re-opener</v>
      </c>
      <c r="G182" s="43" t="s">
        <v>33</v>
      </c>
      <c r="H182" s="43" t="s">
        <v>275</v>
      </c>
      <c r="AU182" s="164">
        <v>0</v>
      </c>
      <c r="AV182" s="29">
        <v>0</v>
      </c>
      <c r="AW182" s="29">
        <v>0</v>
      </c>
      <c r="AX182" s="29">
        <v>0</v>
      </c>
      <c r="AY182" s="184">
        <v>0</v>
      </c>
      <c r="BA182" s="44" t="str">
        <f t="shared" ca="1" si="31"/>
        <v>NGT_TO</v>
      </c>
      <c r="BB182" s="44" t="str">
        <f t="shared" si="32"/>
        <v>Fixed Inputs</v>
      </c>
      <c r="BC182" s="44" t="str">
        <f t="shared" si="33"/>
        <v>Variant allowances</v>
      </c>
      <c r="BD182" s="44" t="str">
        <f t="shared" si="34"/>
        <v>Totex variant allowances allocation percentages</v>
      </c>
    </row>
    <row r="183" spans="5:56">
      <c r="E183" s="212" t="str" cm="1">
        <f t="array" ref="E183">INDEX($E$128:$E$170,INT((ROW()-ROW($E$173))/6)+1)</f>
        <v>NARM Asset Health Re-opener</v>
      </c>
      <c r="G183" s="43" t="s">
        <v>33</v>
      </c>
      <c r="H183" s="43" t="s">
        <v>273</v>
      </c>
      <c r="AU183" s="164">
        <v>0</v>
      </c>
      <c r="AV183" s="29">
        <v>0</v>
      </c>
      <c r="AW183" s="29">
        <v>0</v>
      </c>
      <c r="AX183" s="29">
        <v>0</v>
      </c>
      <c r="AY183" s="184">
        <v>0</v>
      </c>
      <c r="BA183" s="44" t="str">
        <f t="shared" ca="1" si="31"/>
        <v>NGT_TO</v>
      </c>
      <c r="BB183" s="44" t="str">
        <f t="shared" si="32"/>
        <v>Fixed Inputs</v>
      </c>
      <c r="BC183" s="44" t="str">
        <f t="shared" si="33"/>
        <v>Variant allowances</v>
      </c>
      <c r="BD183" s="44" t="str">
        <f t="shared" si="34"/>
        <v>Totex variant allowances allocation percentages</v>
      </c>
    </row>
    <row r="184" spans="5:56">
      <c r="E184" s="201" t="str" cm="1">
        <f t="array" ref="E184">INDEX($E$128:$E$170,INT((ROW()-ROW($E$173))/6)+1)</f>
        <v>NARM Asset Health Re-opener</v>
      </c>
      <c r="F184" s="202"/>
      <c r="G184" s="202" t="s">
        <v>33</v>
      </c>
      <c r="H184" s="202" t="s">
        <v>274</v>
      </c>
      <c r="I184" s="202"/>
      <c r="J184" s="202"/>
      <c r="K184" s="202"/>
      <c r="L184" s="202"/>
      <c r="M184" s="202"/>
      <c r="N184" s="202"/>
      <c r="O184" s="202"/>
      <c r="P184" s="202"/>
      <c r="Q184" s="202"/>
      <c r="R184" s="202"/>
      <c r="S184" s="202"/>
      <c r="T184" s="202"/>
      <c r="U184" s="202"/>
      <c r="V184" s="202"/>
      <c r="W184" s="202"/>
      <c r="X184" s="202"/>
      <c r="Y184" s="202"/>
      <c r="Z184" s="202"/>
      <c r="AA184" s="202"/>
      <c r="AB184" s="202"/>
      <c r="AC184" s="202"/>
      <c r="AD184" s="202"/>
      <c r="AE184" s="202"/>
      <c r="AF184" s="202"/>
      <c r="AG184" s="202"/>
      <c r="AH184" s="202"/>
      <c r="AI184" s="202"/>
      <c r="AJ184" s="202"/>
      <c r="AK184" s="202"/>
      <c r="AL184" s="202"/>
      <c r="AM184" s="202"/>
      <c r="AN184" s="202"/>
      <c r="AO184" s="202"/>
      <c r="AP184" s="202"/>
      <c r="AQ184" s="202"/>
      <c r="AR184" s="202"/>
      <c r="AS184" s="202"/>
      <c r="AT184" s="203"/>
      <c r="AU184" s="204">
        <v>0</v>
      </c>
      <c r="AV184" s="205">
        <v>0</v>
      </c>
      <c r="AW184" s="205">
        <v>0</v>
      </c>
      <c r="AX184" s="205">
        <v>0</v>
      </c>
      <c r="AY184" s="206">
        <v>0</v>
      </c>
      <c r="BA184" s="44" t="str">
        <f t="shared" ca="1" si="31"/>
        <v>NGT_TO</v>
      </c>
      <c r="BB184" s="44" t="str">
        <f t="shared" si="32"/>
        <v>Fixed Inputs</v>
      </c>
      <c r="BC184" s="44" t="str">
        <f t="shared" si="33"/>
        <v>Variant allowances</v>
      </c>
      <c r="BD184" s="44" t="str">
        <f t="shared" si="34"/>
        <v>Totex variant allowances allocation percentages</v>
      </c>
    </row>
    <row r="185" spans="5:56">
      <c r="E185" s="212" t="str" cm="1">
        <f t="array" ref="E185">INDEX($E$128:$E$170,INT((ROW()-ROW($E$173))/6)+1)</f>
        <v>Cyber resilience term Price Control Deliverable</v>
      </c>
      <c r="G185" s="43" t="s">
        <v>33</v>
      </c>
      <c r="H185" s="43" t="s">
        <v>331</v>
      </c>
      <c r="AU185" s="207">
        <v>0</v>
      </c>
      <c r="AV185" s="208">
        <v>0</v>
      </c>
      <c r="AW185" s="208">
        <v>0</v>
      </c>
      <c r="AX185" s="208">
        <v>0</v>
      </c>
      <c r="AY185" s="220">
        <v>0</v>
      </c>
      <c r="BA185" s="44" t="str">
        <f t="shared" ca="1" si="31"/>
        <v>NGT_TO</v>
      </c>
      <c r="BB185" s="44" t="str">
        <f t="shared" si="32"/>
        <v>Fixed Inputs</v>
      </c>
      <c r="BC185" s="44" t="str">
        <f t="shared" si="33"/>
        <v>Variant allowances</v>
      </c>
      <c r="BD185" s="44" t="str">
        <f t="shared" si="34"/>
        <v>Totex variant allowances allocation percentages</v>
      </c>
    </row>
    <row r="186" spans="5:56">
      <c r="E186" s="212" t="str" cm="1">
        <f t="array" ref="E186">INDEX($E$128:$E$170,INT((ROW()-ROW($E$173))/6)+1)</f>
        <v>Cyber resilience term Price Control Deliverable</v>
      </c>
      <c r="G186" s="43" t="s">
        <v>33</v>
      </c>
      <c r="H186" s="43" t="s">
        <v>332</v>
      </c>
      <c r="AU186" s="165">
        <v>0</v>
      </c>
      <c r="AV186" s="32">
        <v>0</v>
      </c>
      <c r="AW186" s="32">
        <v>0</v>
      </c>
      <c r="AX186" s="32">
        <v>0</v>
      </c>
      <c r="AY186" s="213">
        <v>0</v>
      </c>
      <c r="BA186" s="44" t="str">
        <f t="shared" ca="1" si="31"/>
        <v>NGT_TO</v>
      </c>
      <c r="BB186" s="44" t="str">
        <f t="shared" si="32"/>
        <v>Fixed Inputs</v>
      </c>
      <c r="BC186" s="44" t="str">
        <f t="shared" si="33"/>
        <v>Variant allowances</v>
      </c>
      <c r="BD186" s="44" t="str">
        <f t="shared" si="34"/>
        <v>Totex variant allowances allocation percentages</v>
      </c>
    </row>
    <row r="187" spans="5:56">
      <c r="E187" s="212" t="str" cm="1">
        <f t="array" ref="E187">INDEX($E$128:$E$170,INT((ROW()-ROW($E$173))/6)+1)</f>
        <v>Cyber resilience term Price Control Deliverable</v>
      </c>
      <c r="G187" s="43" t="s">
        <v>33</v>
      </c>
      <c r="H187" s="43" t="s">
        <v>333</v>
      </c>
      <c r="AU187" s="165">
        <v>0.56771067882028503</v>
      </c>
      <c r="AV187" s="32">
        <v>0.56771067882028503</v>
      </c>
      <c r="AW187" s="32">
        <v>0.56771067882028503</v>
      </c>
      <c r="AX187" s="32">
        <v>0.56771067882028503</v>
      </c>
      <c r="AY187" s="213">
        <v>0.56771067882028503</v>
      </c>
      <c r="BA187" s="44" t="str">
        <f t="shared" ca="1" si="31"/>
        <v>NGT_TO</v>
      </c>
      <c r="BB187" s="44" t="str">
        <f t="shared" si="32"/>
        <v>Fixed Inputs</v>
      </c>
      <c r="BC187" s="44" t="str">
        <f t="shared" si="33"/>
        <v>Variant allowances</v>
      </c>
      <c r="BD187" s="44" t="str">
        <f t="shared" si="34"/>
        <v>Totex variant allowances allocation percentages</v>
      </c>
    </row>
    <row r="188" spans="5:56">
      <c r="E188" s="212" t="str" cm="1">
        <f t="array" ref="E188">INDEX($E$128:$E$170,INT((ROW()-ROW($E$173))/6)+1)</f>
        <v>Cyber resilience term Price Control Deliverable</v>
      </c>
      <c r="G188" s="43" t="s">
        <v>33</v>
      </c>
      <c r="H188" s="43" t="s">
        <v>275</v>
      </c>
      <c r="AU188" s="165">
        <v>0</v>
      </c>
      <c r="AV188" s="32">
        <v>0</v>
      </c>
      <c r="AW188" s="32">
        <v>0</v>
      </c>
      <c r="AX188" s="32">
        <v>0</v>
      </c>
      <c r="AY188" s="213">
        <v>0</v>
      </c>
      <c r="BA188" s="44" t="str">
        <f t="shared" ca="1" si="31"/>
        <v>NGT_TO</v>
      </c>
      <c r="BB188" s="44" t="str">
        <f t="shared" si="32"/>
        <v>Fixed Inputs</v>
      </c>
      <c r="BC188" s="44" t="str">
        <f t="shared" si="33"/>
        <v>Variant allowances</v>
      </c>
      <c r="BD188" s="44" t="str">
        <f t="shared" si="34"/>
        <v>Totex variant allowances allocation percentages</v>
      </c>
    </row>
    <row r="189" spans="5:56">
      <c r="E189" s="212" t="str" cm="1">
        <f t="array" ref="E189">INDEX($E$128:$E$170,INT((ROW()-ROW($E$173))/6)+1)</f>
        <v>Cyber resilience term Price Control Deliverable</v>
      </c>
      <c r="G189" s="43" t="s">
        <v>33</v>
      </c>
      <c r="H189" s="43" t="s">
        <v>273</v>
      </c>
      <c r="AU189" s="165">
        <v>0</v>
      </c>
      <c r="AV189" s="32">
        <v>0</v>
      </c>
      <c r="AW189" s="32">
        <v>0</v>
      </c>
      <c r="AX189" s="32">
        <v>0</v>
      </c>
      <c r="AY189" s="213">
        <v>0</v>
      </c>
      <c r="BA189" s="44" t="str">
        <f t="shared" ca="1" si="31"/>
        <v>NGT_TO</v>
      </c>
      <c r="BB189" s="44" t="str">
        <f t="shared" si="32"/>
        <v>Fixed Inputs</v>
      </c>
      <c r="BC189" s="44" t="str">
        <f t="shared" si="33"/>
        <v>Variant allowances</v>
      </c>
      <c r="BD189" s="44" t="str">
        <f t="shared" si="34"/>
        <v>Totex variant allowances allocation percentages</v>
      </c>
    </row>
    <row r="190" spans="5:56">
      <c r="E190" s="212" t="str" cm="1">
        <f t="array" ref="E190">INDEX($E$128:$E$170,INT((ROW()-ROW($E$173))/6)+1)</f>
        <v>Cyber resilience term Price Control Deliverable</v>
      </c>
      <c r="G190" s="43" t="s">
        <v>33</v>
      </c>
      <c r="H190" s="43" t="s">
        <v>274</v>
      </c>
      <c r="AU190" s="217">
        <v>0.43228932117971497</v>
      </c>
      <c r="AV190" s="218">
        <v>0.43228932117971497</v>
      </c>
      <c r="AW190" s="218">
        <v>0.43228932117971497</v>
      </c>
      <c r="AX190" s="218">
        <v>0.43228932117971497</v>
      </c>
      <c r="AY190" s="219">
        <v>0.43228932117971497</v>
      </c>
      <c r="BA190" s="44" t="str">
        <f t="shared" ca="1" si="31"/>
        <v>NGT_TO</v>
      </c>
      <c r="BB190" s="44" t="str">
        <f t="shared" si="32"/>
        <v>Fixed Inputs</v>
      </c>
      <c r="BC190" s="44" t="str">
        <f t="shared" si="33"/>
        <v>Variant allowances</v>
      </c>
      <c r="BD190" s="44" t="str">
        <f t="shared" si="34"/>
        <v>Totex variant allowances allocation percentages</v>
      </c>
    </row>
    <row r="191" spans="5:56">
      <c r="E191" s="195" t="str" cm="1">
        <f t="array" ref="E191">INDEX($E$128:$E$170,INT((ROW()-ROW($E$173))/6)+1)</f>
        <v>Cyber resilience Re-Opener</v>
      </c>
      <c r="F191" s="196"/>
      <c r="G191" s="196" t="s">
        <v>33</v>
      </c>
      <c r="H191" s="196" t="s">
        <v>331</v>
      </c>
      <c r="I191" s="196"/>
      <c r="J191" s="196"/>
      <c r="K191" s="196"/>
      <c r="L191" s="196"/>
      <c r="M191" s="196"/>
      <c r="N191" s="196"/>
      <c r="O191" s="196"/>
      <c r="P191" s="196"/>
      <c r="Q191" s="196"/>
      <c r="R191" s="196"/>
      <c r="S191" s="196"/>
      <c r="T191" s="196"/>
      <c r="U191" s="196"/>
      <c r="V191" s="196"/>
      <c r="W191" s="196"/>
      <c r="X191" s="196"/>
      <c r="Y191" s="196"/>
      <c r="Z191" s="196"/>
      <c r="AA191" s="196"/>
      <c r="AB191" s="196"/>
      <c r="AC191" s="196"/>
      <c r="AD191" s="196"/>
      <c r="AE191" s="196"/>
      <c r="AF191" s="196"/>
      <c r="AG191" s="196"/>
      <c r="AH191" s="196"/>
      <c r="AI191" s="196"/>
      <c r="AJ191" s="196"/>
      <c r="AK191" s="196"/>
      <c r="AL191" s="196"/>
      <c r="AM191" s="196"/>
      <c r="AN191" s="196"/>
      <c r="AO191" s="196"/>
      <c r="AP191" s="196"/>
      <c r="AQ191" s="196"/>
      <c r="AR191" s="196"/>
      <c r="AS191" s="196"/>
      <c r="AT191" s="197"/>
      <c r="AU191" s="198">
        <v>0</v>
      </c>
      <c r="AV191" s="199">
        <v>0</v>
      </c>
      <c r="AW191" s="199">
        <v>0</v>
      </c>
      <c r="AX191" s="199">
        <v>0</v>
      </c>
      <c r="AY191" s="200">
        <v>0</v>
      </c>
      <c r="BA191" s="44" t="str">
        <f t="shared" ca="1" si="31"/>
        <v>NGT_TO</v>
      </c>
      <c r="BB191" s="44" t="str">
        <f t="shared" si="32"/>
        <v>Fixed Inputs</v>
      </c>
      <c r="BC191" s="44" t="str">
        <f t="shared" si="33"/>
        <v>Variant allowances</v>
      </c>
      <c r="BD191" s="44" t="str">
        <f t="shared" si="34"/>
        <v>Totex variant allowances allocation percentages</v>
      </c>
    </row>
    <row r="192" spans="5:56">
      <c r="E192" s="212" t="str" cm="1">
        <f t="array" ref="E192">INDEX($E$128:$E$170,INT((ROW()-ROW($E$173))/6)+1)</f>
        <v>Cyber resilience Re-Opener</v>
      </c>
      <c r="G192" s="43" t="s">
        <v>33</v>
      </c>
      <c r="H192" s="43" t="s">
        <v>332</v>
      </c>
      <c r="AU192" s="164">
        <v>0</v>
      </c>
      <c r="AV192" s="29">
        <v>0</v>
      </c>
      <c r="AW192" s="29">
        <v>0</v>
      </c>
      <c r="AX192" s="29">
        <v>0</v>
      </c>
      <c r="AY192" s="184">
        <v>0</v>
      </c>
      <c r="BA192" s="44" t="str">
        <f t="shared" ca="1" si="31"/>
        <v>NGT_TO</v>
      </c>
      <c r="BB192" s="44" t="str">
        <f t="shared" si="32"/>
        <v>Fixed Inputs</v>
      </c>
      <c r="BC192" s="44" t="str">
        <f t="shared" si="33"/>
        <v>Variant allowances</v>
      </c>
      <c r="BD192" s="44" t="str">
        <f t="shared" si="34"/>
        <v>Totex variant allowances allocation percentages</v>
      </c>
    </row>
    <row r="193" spans="5:56">
      <c r="E193" s="212" t="str" cm="1">
        <f t="array" ref="E193">INDEX($E$128:$E$170,INT((ROW()-ROW($E$173))/6)+1)</f>
        <v>Cyber resilience Re-Opener</v>
      </c>
      <c r="G193" s="43" t="s">
        <v>33</v>
      </c>
      <c r="H193" s="43" t="s">
        <v>333</v>
      </c>
      <c r="AU193" s="164">
        <v>0</v>
      </c>
      <c r="AV193" s="29">
        <v>0</v>
      </c>
      <c r="AW193" s="29">
        <v>0</v>
      </c>
      <c r="AX193" s="29">
        <v>0</v>
      </c>
      <c r="AY193" s="184">
        <v>0</v>
      </c>
      <c r="BA193" s="44" t="str">
        <f t="shared" ca="1" si="31"/>
        <v>NGT_TO</v>
      </c>
      <c r="BB193" s="44" t="str">
        <f t="shared" si="32"/>
        <v>Fixed Inputs</v>
      </c>
      <c r="BC193" s="44" t="str">
        <f t="shared" si="33"/>
        <v>Variant allowances</v>
      </c>
      <c r="BD193" s="44" t="str">
        <f t="shared" si="34"/>
        <v>Totex variant allowances allocation percentages</v>
      </c>
    </row>
    <row r="194" spans="5:56">
      <c r="E194" s="212" t="str" cm="1">
        <f t="array" ref="E194">INDEX($E$128:$E$170,INT((ROW()-ROW($E$173))/6)+1)</f>
        <v>Cyber resilience Re-Opener</v>
      </c>
      <c r="G194" s="43" t="s">
        <v>33</v>
      </c>
      <c r="H194" s="43" t="s">
        <v>275</v>
      </c>
      <c r="AU194" s="164">
        <v>0</v>
      </c>
      <c r="AV194" s="29">
        <v>0</v>
      </c>
      <c r="AW194" s="29">
        <v>0</v>
      </c>
      <c r="AX194" s="29">
        <v>0</v>
      </c>
      <c r="AY194" s="184">
        <v>0</v>
      </c>
      <c r="BA194" s="44" t="str">
        <f t="shared" ca="1" si="31"/>
        <v>NGT_TO</v>
      </c>
      <c r="BB194" s="44" t="str">
        <f t="shared" si="32"/>
        <v>Fixed Inputs</v>
      </c>
      <c r="BC194" s="44" t="str">
        <f t="shared" si="33"/>
        <v>Variant allowances</v>
      </c>
      <c r="BD194" s="44" t="str">
        <f t="shared" si="34"/>
        <v>Totex variant allowances allocation percentages</v>
      </c>
    </row>
    <row r="195" spans="5:56">
      <c r="E195" s="212" t="str" cm="1">
        <f t="array" ref="E195">INDEX($E$128:$E$170,INT((ROW()-ROW($E$173))/6)+1)</f>
        <v>Cyber resilience Re-Opener</v>
      </c>
      <c r="G195" s="43" t="s">
        <v>33</v>
      </c>
      <c r="H195" s="43" t="s">
        <v>273</v>
      </c>
      <c r="AU195" s="164">
        <v>0</v>
      </c>
      <c r="AV195" s="29">
        <v>0</v>
      </c>
      <c r="AW195" s="29">
        <v>0</v>
      </c>
      <c r="AX195" s="29">
        <v>0</v>
      </c>
      <c r="AY195" s="184">
        <v>0</v>
      </c>
      <c r="BA195" s="44" t="str">
        <f t="shared" ca="1" si="31"/>
        <v>NGT_TO</v>
      </c>
      <c r="BB195" s="44" t="str">
        <f t="shared" si="32"/>
        <v>Fixed Inputs</v>
      </c>
      <c r="BC195" s="44" t="str">
        <f t="shared" si="33"/>
        <v>Variant allowances</v>
      </c>
      <c r="BD195" s="44" t="str">
        <f t="shared" si="34"/>
        <v>Totex variant allowances allocation percentages</v>
      </c>
    </row>
    <row r="196" spans="5:56">
      <c r="E196" s="201" t="str" cm="1">
        <f t="array" ref="E196">INDEX($E$128:$E$170,INT((ROW()-ROW($E$173))/6)+1)</f>
        <v>Cyber resilience Re-Opener</v>
      </c>
      <c r="F196" s="202"/>
      <c r="G196" s="202" t="s">
        <v>33</v>
      </c>
      <c r="H196" s="202" t="s">
        <v>274</v>
      </c>
      <c r="I196" s="202"/>
      <c r="J196" s="202"/>
      <c r="K196" s="202"/>
      <c r="L196" s="202"/>
      <c r="M196" s="202"/>
      <c r="N196" s="202"/>
      <c r="O196" s="202"/>
      <c r="P196" s="202"/>
      <c r="Q196" s="202"/>
      <c r="R196" s="202"/>
      <c r="S196" s="202"/>
      <c r="T196" s="202"/>
      <c r="U196" s="202"/>
      <c r="V196" s="202"/>
      <c r="W196" s="202"/>
      <c r="X196" s="202"/>
      <c r="Y196" s="202"/>
      <c r="Z196" s="202"/>
      <c r="AA196" s="202"/>
      <c r="AB196" s="202"/>
      <c r="AC196" s="202"/>
      <c r="AD196" s="202"/>
      <c r="AE196" s="202"/>
      <c r="AF196" s="202"/>
      <c r="AG196" s="202"/>
      <c r="AH196" s="202"/>
      <c r="AI196" s="202"/>
      <c r="AJ196" s="202"/>
      <c r="AK196" s="202"/>
      <c r="AL196" s="202"/>
      <c r="AM196" s="202"/>
      <c r="AN196" s="202"/>
      <c r="AO196" s="202"/>
      <c r="AP196" s="202"/>
      <c r="AQ196" s="202"/>
      <c r="AR196" s="202"/>
      <c r="AS196" s="202"/>
      <c r="AT196" s="203"/>
      <c r="AU196" s="204">
        <v>0</v>
      </c>
      <c r="AV196" s="205">
        <v>0</v>
      </c>
      <c r="AW196" s="205">
        <v>0</v>
      </c>
      <c r="AX196" s="205">
        <v>0</v>
      </c>
      <c r="AY196" s="206">
        <v>0</v>
      </c>
      <c r="BA196" s="44" t="str">
        <f t="shared" ca="1" si="31"/>
        <v>NGT_TO</v>
      </c>
      <c r="BB196" s="44" t="str">
        <f t="shared" si="32"/>
        <v>Fixed Inputs</v>
      </c>
      <c r="BC196" s="44" t="str">
        <f t="shared" si="33"/>
        <v>Variant allowances</v>
      </c>
      <c r="BD196" s="44" t="str">
        <f t="shared" si="34"/>
        <v>Totex variant allowances allocation percentages</v>
      </c>
    </row>
    <row r="197" spans="5:56">
      <c r="E197" s="212" t="str" cm="1">
        <f t="array" ref="E197">INDEX($E$128:$E$170,INT((ROW()-ROW($E$173))/6)+1)</f>
        <v>Cyber resilience Use it or lose it allowance</v>
      </c>
      <c r="G197" s="43" t="s">
        <v>33</v>
      </c>
      <c r="H197" s="43" t="s">
        <v>331</v>
      </c>
      <c r="AU197" s="207">
        <v>0</v>
      </c>
      <c r="AV197" s="208">
        <v>0</v>
      </c>
      <c r="AW197" s="208">
        <v>0</v>
      </c>
      <c r="AX197" s="208">
        <v>0</v>
      </c>
      <c r="AY197" s="220">
        <v>0</v>
      </c>
      <c r="BA197" s="44" t="str">
        <f t="shared" ca="1" si="31"/>
        <v>NGT_TO</v>
      </c>
      <c r="BB197" s="44" t="str">
        <f t="shared" si="32"/>
        <v>Fixed Inputs</v>
      </c>
      <c r="BC197" s="44" t="str">
        <f t="shared" si="33"/>
        <v>Variant allowances</v>
      </c>
      <c r="BD197" s="44" t="str">
        <f t="shared" si="34"/>
        <v>Totex variant allowances allocation percentages</v>
      </c>
    </row>
    <row r="198" spans="5:56">
      <c r="E198" s="212" t="str" cm="1">
        <f t="array" ref="E198">INDEX($E$128:$E$170,INT((ROW()-ROW($E$173))/6)+1)</f>
        <v>Cyber resilience Use it or lose it allowance</v>
      </c>
      <c r="G198" s="43" t="s">
        <v>33</v>
      </c>
      <c r="H198" s="43" t="s">
        <v>332</v>
      </c>
      <c r="AU198" s="165">
        <v>0</v>
      </c>
      <c r="AV198" s="32">
        <v>0</v>
      </c>
      <c r="AW198" s="32">
        <v>0</v>
      </c>
      <c r="AX198" s="32">
        <v>0</v>
      </c>
      <c r="AY198" s="213">
        <v>0</v>
      </c>
      <c r="BA198" s="44" t="str">
        <f t="shared" ca="1" si="31"/>
        <v>NGT_TO</v>
      </c>
      <c r="BB198" s="44" t="str">
        <f t="shared" si="32"/>
        <v>Fixed Inputs</v>
      </c>
      <c r="BC198" s="44" t="str">
        <f t="shared" si="33"/>
        <v>Variant allowances</v>
      </c>
      <c r="BD198" s="44" t="str">
        <f t="shared" si="34"/>
        <v>Totex variant allowances allocation percentages</v>
      </c>
    </row>
    <row r="199" spans="5:56">
      <c r="E199" s="212" t="str" cm="1">
        <f t="array" ref="E199">INDEX($E$128:$E$170,INT((ROW()-ROW($E$173))/6)+1)</f>
        <v>Cyber resilience Use it or lose it allowance</v>
      </c>
      <c r="G199" s="43" t="s">
        <v>33</v>
      </c>
      <c r="H199" s="43" t="s">
        <v>333</v>
      </c>
      <c r="AU199" s="165">
        <v>0.56771067882028503</v>
      </c>
      <c r="AV199" s="32">
        <v>0.56771067882028503</v>
      </c>
      <c r="AW199" s="32">
        <v>0.56771067882028503</v>
      </c>
      <c r="AX199" s="32">
        <v>0.56771067882028503</v>
      </c>
      <c r="AY199" s="213">
        <v>0.56771067882028503</v>
      </c>
      <c r="BA199" s="44" t="str">
        <f t="shared" ca="1" si="31"/>
        <v>NGT_TO</v>
      </c>
      <c r="BB199" s="44" t="str">
        <f t="shared" si="32"/>
        <v>Fixed Inputs</v>
      </c>
      <c r="BC199" s="44" t="str">
        <f t="shared" si="33"/>
        <v>Variant allowances</v>
      </c>
      <c r="BD199" s="44" t="str">
        <f t="shared" si="34"/>
        <v>Totex variant allowances allocation percentages</v>
      </c>
    </row>
    <row r="200" spans="5:56">
      <c r="E200" s="212" t="str" cm="1">
        <f t="array" ref="E200">INDEX($E$128:$E$170,INT((ROW()-ROW($E$173))/6)+1)</f>
        <v>Cyber resilience Use it or lose it allowance</v>
      </c>
      <c r="G200" s="43" t="s">
        <v>33</v>
      </c>
      <c r="H200" s="43" t="s">
        <v>275</v>
      </c>
      <c r="AU200" s="165">
        <v>0</v>
      </c>
      <c r="AV200" s="32">
        <v>0</v>
      </c>
      <c r="AW200" s="32">
        <v>0</v>
      </c>
      <c r="AX200" s="32">
        <v>0</v>
      </c>
      <c r="AY200" s="213">
        <v>0</v>
      </c>
      <c r="BA200" s="44" t="str">
        <f t="shared" ca="1" si="31"/>
        <v>NGT_TO</v>
      </c>
      <c r="BB200" s="44" t="str">
        <f t="shared" si="32"/>
        <v>Fixed Inputs</v>
      </c>
      <c r="BC200" s="44" t="str">
        <f t="shared" si="33"/>
        <v>Variant allowances</v>
      </c>
      <c r="BD200" s="44" t="str">
        <f t="shared" si="34"/>
        <v>Totex variant allowances allocation percentages</v>
      </c>
    </row>
    <row r="201" spans="5:56">
      <c r="E201" s="212" t="str" cm="1">
        <f t="array" ref="E201">INDEX($E$128:$E$170,INT((ROW()-ROW($E$173))/6)+1)</f>
        <v>Cyber resilience Use it or lose it allowance</v>
      </c>
      <c r="G201" s="43" t="s">
        <v>33</v>
      </c>
      <c r="H201" s="43" t="s">
        <v>273</v>
      </c>
      <c r="AU201" s="165">
        <v>0</v>
      </c>
      <c r="AV201" s="32">
        <v>0</v>
      </c>
      <c r="AW201" s="32">
        <v>0</v>
      </c>
      <c r="AX201" s="32">
        <v>0</v>
      </c>
      <c r="AY201" s="213">
        <v>0</v>
      </c>
      <c r="BA201" s="44" t="str">
        <f t="shared" ca="1" si="31"/>
        <v>NGT_TO</v>
      </c>
      <c r="BB201" s="44" t="str">
        <f t="shared" si="32"/>
        <v>Fixed Inputs</v>
      </c>
      <c r="BC201" s="44" t="str">
        <f t="shared" si="33"/>
        <v>Variant allowances</v>
      </c>
      <c r="BD201" s="44" t="str">
        <f t="shared" si="34"/>
        <v>Totex variant allowances allocation percentages</v>
      </c>
    </row>
    <row r="202" spans="5:56">
      <c r="E202" s="212" t="str" cm="1">
        <f t="array" ref="E202">INDEX($E$128:$E$170,INT((ROW()-ROW($E$173))/6)+1)</f>
        <v>Cyber resilience Use it or lose it allowance</v>
      </c>
      <c r="G202" s="43" t="s">
        <v>33</v>
      </c>
      <c r="H202" s="43" t="s">
        <v>274</v>
      </c>
      <c r="AU202" s="217">
        <v>0.43228932117971497</v>
      </c>
      <c r="AV202" s="218">
        <v>0.43228932117971497</v>
      </c>
      <c r="AW202" s="218">
        <v>0.43228932117971497</v>
      </c>
      <c r="AX202" s="218">
        <v>0.43228932117971497</v>
      </c>
      <c r="AY202" s="219">
        <v>0.43228932117971497</v>
      </c>
      <c r="BA202" s="44" t="str">
        <f t="shared" ca="1" si="31"/>
        <v>NGT_TO</v>
      </c>
      <c r="BB202" s="44" t="str">
        <f t="shared" si="32"/>
        <v>Fixed Inputs</v>
      </c>
      <c r="BC202" s="44" t="str">
        <f t="shared" si="33"/>
        <v>Variant allowances</v>
      </c>
      <c r="BD202" s="44" t="str">
        <f t="shared" si="34"/>
        <v>Totex variant allowances allocation percentages</v>
      </c>
    </row>
    <row r="203" spans="5:56">
      <c r="E203" s="195" t="str" cm="1">
        <f t="array" ref="E203">INDEX($E$128:$E$170,INT((ROW()-ROW($E$173))/6)+1)</f>
        <v>Resilience Activity Re-opener</v>
      </c>
      <c r="F203" s="196"/>
      <c r="G203" s="196" t="s">
        <v>33</v>
      </c>
      <c r="H203" s="196" t="s">
        <v>331</v>
      </c>
      <c r="I203" s="196"/>
      <c r="J203" s="196"/>
      <c r="K203" s="196"/>
      <c r="L203" s="196"/>
      <c r="M203" s="196"/>
      <c r="N203" s="196"/>
      <c r="O203" s="196"/>
      <c r="P203" s="196"/>
      <c r="Q203" s="196"/>
      <c r="R203" s="196"/>
      <c r="S203" s="196"/>
      <c r="T203" s="196"/>
      <c r="U203" s="196"/>
      <c r="V203" s="196"/>
      <c r="W203" s="196"/>
      <c r="X203" s="196"/>
      <c r="Y203" s="196"/>
      <c r="Z203" s="196"/>
      <c r="AA203" s="196"/>
      <c r="AB203" s="196"/>
      <c r="AC203" s="196"/>
      <c r="AD203" s="196"/>
      <c r="AE203" s="196"/>
      <c r="AF203" s="196"/>
      <c r="AG203" s="196"/>
      <c r="AH203" s="196"/>
      <c r="AI203" s="196"/>
      <c r="AJ203" s="196"/>
      <c r="AK203" s="196"/>
      <c r="AL203" s="196"/>
      <c r="AM203" s="196"/>
      <c r="AN203" s="196"/>
      <c r="AO203" s="196"/>
      <c r="AP203" s="196"/>
      <c r="AQ203" s="196"/>
      <c r="AR203" s="196"/>
      <c r="AS203" s="196"/>
      <c r="AT203" s="197"/>
      <c r="AU203" s="198">
        <v>0</v>
      </c>
      <c r="AV203" s="199">
        <v>0</v>
      </c>
      <c r="AW203" s="199">
        <v>0</v>
      </c>
      <c r="AX203" s="199">
        <v>0</v>
      </c>
      <c r="AY203" s="200">
        <v>0</v>
      </c>
      <c r="BA203" s="44" t="str">
        <f t="shared" ca="1" si="31"/>
        <v>NGT_TO</v>
      </c>
      <c r="BB203" s="44" t="str">
        <f t="shared" si="32"/>
        <v>Fixed Inputs</v>
      </c>
      <c r="BC203" s="44" t="str">
        <f t="shared" si="33"/>
        <v>Variant allowances</v>
      </c>
      <c r="BD203" s="44" t="str">
        <f t="shared" si="34"/>
        <v>Totex variant allowances allocation percentages</v>
      </c>
    </row>
    <row r="204" spans="5:56">
      <c r="E204" s="212" t="str" cm="1">
        <f t="array" ref="E204">INDEX($E$128:$E$170,INT((ROW()-ROW($E$173))/6)+1)</f>
        <v>Resilience Activity Re-opener</v>
      </c>
      <c r="G204" s="43" t="s">
        <v>33</v>
      </c>
      <c r="H204" s="43" t="s">
        <v>332</v>
      </c>
      <c r="AU204" s="164">
        <v>1</v>
      </c>
      <c r="AV204" s="29">
        <v>1</v>
      </c>
      <c r="AW204" s="29">
        <v>1</v>
      </c>
      <c r="AX204" s="29">
        <v>1</v>
      </c>
      <c r="AY204" s="184">
        <v>1</v>
      </c>
      <c r="BA204" s="44" t="str">
        <f t="shared" ca="1" si="31"/>
        <v>NGT_TO</v>
      </c>
      <c r="BB204" s="44" t="str">
        <f t="shared" si="32"/>
        <v>Fixed Inputs</v>
      </c>
      <c r="BC204" s="44" t="str">
        <f t="shared" si="33"/>
        <v>Variant allowances</v>
      </c>
      <c r="BD204" s="44" t="str">
        <f t="shared" si="34"/>
        <v>Totex variant allowances allocation percentages</v>
      </c>
    </row>
    <row r="205" spans="5:56">
      <c r="E205" s="212" t="str" cm="1">
        <f t="array" ref="E205">INDEX($E$128:$E$170,INT((ROW()-ROW($E$173))/6)+1)</f>
        <v>Resilience Activity Re-opener</v>
      </c>
      <c r="G205" s="43" t="s">
        <v>33</v>
      </c>
      <c r="H205" s="43" t="s">
        <v>333</v>
      </c>
      <c r="AU205" s="164">
        <v>0</v>
      </c>
      <c r="AV205" s="29">
        <v>0</v>
      </c>
      <c r="AW205" s="29">
        <v>0</v>
      </c>
      <c r="AX205" s="29">
        <v>0</v>
      </c>
      <c r="AY205" s="184">
        <v>0</v>
      </c>
      <c r="BA205" s="44" t="str">
        <f t="shared" ca="1" si="31"/>
        <v>NGT_TO</v>
      </c>
      <c r="BB205" s="44" t="str">
        <f t="shared" ref="BB205:BB236" si="35">$A$125</f>
        <v>Fixed Inputs</v>
      </c>
      <c r="BC205" s="44" t="str">
        <f t="shared" si="33"/>
        <v>Variant allowances</v>
      </c>
      <c r="BD205" s="44" t="str">
        <f t="shared" ref="BD205:BD236" si="36">$C$172</f>
        <v>Totex variant allowances allocation percentages</v>
      </c>
    </row>
    <row r="206" spans="5:56">
      <c r="E206" s="212" t="str" cm="1">
        <f t="array" ref="E206">INDEX($E$128:$E$170,INT((ROW()-ROW($E$173))/6)+1)</f>
        <v>Resilience Activity Re-opener</v>
      </c>
      <c r="G206" s="43" t="s">
        <v>33</v>
      </c>
      <c r="H206" s="43" t="s">
        <v>275</v>
      </c>
      <c r="AU206" s="164">
        <v>0</v>
      </c>
      <c r="AV206" s="29">
        <v>0</v>
      </c>
      <c r="AW206" s="29">
        <v>0</v>
      </c>
      <c r="AX206" s="29">
        <v>0</v>
      </c>
      <c r="AY206" s="184">
        <v>0</v>
      </c>
      <c r="BA206" s="44" t="str">
        <f t="shared" ca="1" si="31"/>
        <v>NGT_TO</v>
      </c>
      <c r="BB206" s="44" t="str">
        <f t="shared" si="35"/>
        <v>Fixed Inputs</v>
      </c>
      <c r="BC206" s="44" t="str">
        <f t="shared" si="33"/>
        <v>Variant allowances</v>
      </c>
      <c r="BD206" s="44" t="str">
        <f t="shared" si="36"/>
        <v>Totex variant allowances allocation percentages</v>
      </c>
    </row>
    <row r="207" spans="5:56">
      <c r="E207" s="212" t="str" cm="1">
        <f t="array" ref="E207">INDEX($E$128:$E$170,INT((ROW()-ROW($E$173))/6)+1)</f>
        <v>Resilience Activity Re-opener</v>
      </c>
      <c r="G207" s="43" t="s">
        <v>33</v>
      </c>
      <c r="H207" s="43" t="s">
        <v>273</v>
      </c>
      <c r="AU207" s="164">
        <v>0</v>
      </c>
      <c r="AV207" s="29">
        <v>0</v>
      </c>
      <c r="AW207" s="29">
        <v>0</v>
      </c>
      <c r="AX207" s="29">
        <v>0</v>
      </c>
      <c r="AY207" s="184">
        <v>0</v>
      </c>
      <c r="BA207" s="44" t="str">
        <f t="shared" ca="1" si="31"/>
        <v>NGT_TO</v>
      </c>
      <c r="BB207" s="44" t="str">
        <f t="shared" si="35"/>
        <v>Fixed Inputs</v>
      </c>
      <c r="BC207" s="44" t="str">
        <f t="shared" si="33"/>
        <v>Variant allowances</v>
      </c>
      <c r="BD207" s="44" t="str">
        <f t="shared" si="36"/>
        <v>Totex variant allowances allocation percentages</v>
      </c>
    </row>
    <row r="208" spans="5:56">
      <c r="E208" s="201" t="str" cm="1">
        <f t="array" ref="E208">INDEX($E$128:$E$170,INT((ROW()-ROW($E$173))/6)+1)</f>
        <v>Resilience Activity Re-opener</v>
      </c>
      <c r="F208" s="202"/>
      <c r="G208" s="202" t="s">
        <v>33</v>
      </c>
      <c r="H208" s="202" t="s">
        <v>274</v>
      </c>
      <c r="I208" s="202"/>
      <c r="J208" s="202"/>
      <c r="K208" s="202"/>
      <c r="L208" s="202"/>
      <c r="M208" s="202"/>
      <c r="N208" s="202"/>
      <c r="O208" s="202"/>
      <c r="P208" s="202"/>
      <c r="Q208" s="202"/>
      <c r="R208" s="202"/>
      <c r="S208" s="202"/>
      <c r="T208" s="202"/>
      <c r="U208" s="202"/>
      <c r="V208" s="202"/>
      <c r="W208" s="202"/>
      <c r="X208" s="202"/>
      <c r="Y208" s="202"/>
      <c r="Z208" s="202"/>
      <c r="AA208" s="202"/>
      <c r="AB208" s="202"/>
      <c r="AC208" s="202"/>
      <c r="AD208" s="202"/>
      <c r="AE208" s="202"/>
      <c r="AF208" s="202"/>
      <c r="AG208" s="202"/>
      <c r="AH208" s="202"/>
      <c r="AI208" s="202"/>
      <c r="AJ208" s="202"/>
      <c r="AK208" s="202"/>
      <c r="AL208" s="202"/>
      <c r="AM208" s="202"/>
      <c r="AN208" s="202"/>
      <c r="AO208" s="202"/>
      <c r="AP208" s="202"/>
      <c r="AQ208" s="202"/>
      <c r="AR208" s="202"/>
      <c r="AS208" s="202"/>
      <c r="AT208" s="203"/>
      <c r="AU208" s="204">
        <v>0</v>
      </c>
      <c r="AV208" s="205">
        <v>0</v>
      </c>
      <c r="AW208" s="205">
        <v>0</v>
      </c>
      <c r="AX208" s="205">
        <v>0</v>
      </c>
      <c r="AY208" s="206">
        <v>0</v>
      </c>
      <c r="BA208" s="44" t="str">
        <f t="shared" ca="1" si="31"/>
        <v>NGT_TO</v>
      </c>
      <c r="BB208" s="44" t="str">
        <f t="shared" si="35"/>
        <v>Fixed Inputs</v>
      </c>
      <c r="BC208" s="44" t="str">
        <f t="shared" si="33"/>
        <v>Variant allowances</v>
      </c>
      <c r="BD208" s="44" t="str">
        <f t="shared" si="36"/>
        <v>Totex variant allowances allocation percentages</v>
      </c>
    </row>
    <row r="209" spans="5:56">
      <c r="E209" s="212" t="str" cm="1">
        <f t="array" ref="E209">INDEX($E$128:$E$170,INT((ROW()-ROW($E$173))/6)+1)</f>
        <v>Physical Security Price Control Deliverable</v>
      </c>
      <c r="G209" s="43" t="s">
        <v>33</v>
      </c>
      <c r="H209" s="43" t="s">
        <v>331</v>
      </c>
      <c r="AU209" s="207">
        <v>0</v>
      </c>
      <c r="AV209" s="208">
        <v>0</v>
      </c>
      <c r="AW209" s="208">
        <v>0</v>
      </c>
      <c r="AX209" s="208">
        <v>0</v>
      </c>
      <c r="AY209" s="220">
        <v>0</v>
      </c>
      <c r="BA209" s="44" t="str">
        <f t="shared" ca="1" si="31"/>
        <v>NGT_TO</v>
      </c>
      <c r="BB209" s="44" t="str">
        <f t="shared" si="35"/>
        <v>Fixed Inputs</v>
      </c>
      <c r="BC209" s="44" t="str">
        <f t="shared" si="33"/>
        <v>Variant allowances</v>
      </c>
      <c r="BD209" s="44" t="str">
        <f t="shared" si="36"/>
        <v>Totex variant allowances allocation percentages</v>
      </c>
    </row>
    <row r="210" spans="5:56">
      <c r="E210" s="212" t="str" cm="1">
        <f t="array" ref="E210">INDEX($E$128:$E$170,INT((ROW()-ROW($E$173))/6)+1)</f>
        <v>Physical Security Price Control Deliverable</v>
      </c>
      <c r="G210" s="43" t="s">
        <v>33</v>
      </c>
      <c r="H210" s="43" t="s">
        <v>332</v>
      </c>
      <c r="AU210" s="165">
        <v>0</v>
      </c>
      <c r="AV210" s="32">
        <v>0</v>
      </c>
      <c r="AW210" s="32">
        <v>0</v>
      </c>
      <c r="AX210" s="32">
        <v>0</v>
      </c>
      <c r="AY210" s="213">
        <v>0</v>
      </c>
      <c r="BA210" s="44" t="str">
        <f t="shared" ref="BA210:BA273" ca="1" si="37">$A$1</f>
        <v>NGT_TO</v>
      </c>
      <c r="BB210" s="44" t="str">
        <f t="shared" si="35"/>
        <v>Fixed Inputs</v>
      </c>
      <c r="BC210" s="44" t="str">
        <f t="shared" si="33"/>
        <v>Variant allowances</v>
      </c>
      <c r="BD210" s="44" t="str">
        <f t="shared" si="36"/>
        <v>Totex variant allowances allocation percentages</v>
      </c>
    </row>
    <row r="211" spans="5:56">
      <c r="E211" s="212" t="str" cm="1">
        <f t="array" ref="E211">INDEX($E$128:$E$170,INT((ROW()-ROW($E$173))/6)+1)</f>
        <v>Physical Security Price Control Deliverable</v>
      </c>
      <c r="G211" s="43" t="s">
        <v>33</v>
      </c>
      <c r="H211" s="43" t="s">
        <v>333</v>
      </c>
      <c r="AU211" s="165">
        <v>1</v>
      </c>
      <c r="AV211" s="32">
        <v>1</v>
      </c>
      <c r="AW211" s="32">
        <v>1</v>
      </c>
      <c r="AX211" s="32">
        <v>1</v>
      </c>
      <c r="AY211" s="213">
        <v>1</v>
      </c>
      <c r="BA211" s="44" t="str">
        <f t="shared" ca="1" si="37"/>
        <v>NGT_TO</v>
      </c>
      <c r="BB211" s="44" t="str">
        <f t="shared" si="35"/>
        <v>Fixed Inputs</v>
      </c>
      <c r="BC211" s="44" t="str">
        <f t="shared" si="33"/>
        <v>Variant allowances</v>
      </c>
      <c r="BD211" s="44" t="str">
        <f t="shared" si="36"/>
        <v>Totex variant allowances allocation percentages</v>
      </c>
    </row>
    <row r="212" spans="5:56">
      <c r="E212" s="212" t="str" cm="1">
        <f t="array" ref="E212">INDEX($E$128:$E$170,INT((ROW()-ROW($E$173))/6)+1)</f>
        <v>Physical Security Price Control Deliverable</v>
      </c>
      <c r="G212" s="43" t="s">
        <v>33</v>
      </c>
      <c r="H212" s="43" t="s">
        <v>275</v>
      </c>
      <c r="AU212" s="165">
        <v>0</v>
      </c>
      <c r="AV212" s="32">
        <v>0</v>
      </c>
      <c r="AW212" s="32">
        <v>0</v>
      </c>
      <c r="AX212" s="32">
        <v>0</v>
      </c>
      <c r="AY212" s="213">
        <v>0</v>
      </c>
      <c r="BA212" s="44" t="str">
        <f t="shared" ca="1" si="37"/>
        <v>NGT_TO</v>
      </c>
      <c r="BB212" s="44" t="str">
        <f t="shared" si="35"/>
        <v>Fixed Inputs</v>
      </c>
      <c r="BC212" s="44" t="str">
        <f t="shared" si="33"/>
        <v>Variant allowances</v>
      </c>
      <c r="BD212" s="44" t="str">
        <f t="shared" si="36"/>
        <v>Totex variant allowances allocation percentages</v>
      </c>
    </row>
    <row r="213" spans="5:56">
      <c r="E213" s="212" t="str" cm="1">
        <f t="array" ref="E213">INDEX($E$128:$E$170,INT((ROW()-ROW($E$173))/6)+1)</f>
        <v>Physical Security Price Control Deliverable</v>
      </c>
      <c r="G213" s="43" t="s">
        <v>33</v>
      </c>
      <c r="H213" s="43" t="s">
        <v>273</v>
      </c>
      <c r="AU213" s="165">
        <v>0</v>
      </c>
      <c r="AV213" s="32">
        <v>0</v>
      </c>
      <c r="AW213" s="32">
        <v>0</v>
      </c>
      <c r="AX213" s="32">
        <v>0</v>
      </c>
      <c r="AY213" s="213">
        <v>0</v>
      </c>
      <c r="BA213" s="44" t="str">
        <f t="shared" ca="1" si="37"/>
        <v>NGT_TO</v>
      </c>
      <c r="BB213" s="44" t="str">
        <f t="shared" si="35"/>
        <v>Fixed Inputs</v>
      </c>
      <c r="BC213" s="44" t="str">
        <f t="shared" si="33"/>
        <v>Variant allowances</v>
      </c>
      <c r="BD213" s="44" t="str">
        <f t="shared" si="36"/>
        <v>Totex variant allowances allocation percentages</v>
      </c>
    </row>
    <row r="214" spans="5:56">
      <c r="E214" s="212" t="str" cm="1">
        <f t="array" ref="E214">INDEX($E$128:$E$170,INT((ROW()-ROW($E$173))/6)+1)</f>
        <v>Physical Security Price Control Deliverable</v>
      </c>
      <c r="G214" s="43" t="s">
        <v>33</v>
      </c>
      <c r="H214" s="43" t="s">
        <v>274</v>
      </c>
      <c r="AU214" s="217">
        <v>0</v>
      </c>
      <c r="AV214" s="218">
        <v>0</v>
      </c>
      <c r="AW214" s="218">
        <v>0</v>
      </c>
      <c r="AX214" s="218">
        <v>0</v>
      </c>
      <c r="AY214" s="219">
        <v>0</v>
      </c>
      <c r="BA214" s="44" t="str">
        <f t="shared" ca="1" si="37"/>
        <v>NGT_TO</v>
      </c>
      <c r="BB214" s="44" t="str">
        <f t="shared" si="35"/>
        <v>Fixed Inputs</v>
      </c>
      <c r="BC214" s="44" t="str">
        <f t="shared" si="33"/>
        <v>Variant allowances</v>
      </c>
      <c r="BD214" s="44" t="str">
        <f t="shared" si="36"/>
        <v>Totex variant allowances allocation percentages</v>
      </c>
    </row>
    <row r="215" spans="5:56">
      <c r="E215" s="195" t="str" cm="1">
        <f t="array" ref="E215">INDEX($E$128:$E$170,INT((ROW()-ROW($E$173))/6)+1)</f>
        <v>Physical Security Price Control Deliverable - Re-Opener Element</v>
      </c>
      <c r="F215" s="196"/>
      <c r="G215" s="196" t="s">
        <v>33</v>
      </c>
      <c r="H215" s="196" t="s">
        <v>331</v>
      </c>
      <c r="I215" s="196"/>
      <c r="J215" s="196"/>
      <c r="K215" s="196"/>
      <c r="L215" s="196"/>
      <c r="M215" s="196"/>
      <c r="N215" s="196"/>
      <c r="O215" s="196"/>
      <c r="P215" s="196"/>
      <c r="Q215" s="196"/>
      <c r="R215" s="196"/>
      <c r="S215" s="196"/>
      <c r="T215" s="196"/>
      <c r="U215" s="196"/>
      <c r="V215" s="196"/>
      <c r="W215" s="196"/>
      <c r="X215" s="196"/>
      <c r="Y215" s="196"/>
      <c r="Z215" s="196"/>
      <c r="AA215" s="196"/>
      <c r="AB215" s="196"/>
      <c r="AC215" s="196"/>
      <c r="AD215" s="196"/>
      <c r="AE215" s="196"/>
      <c r="AF215" s="196"/>
      <c r="AG215" s="196"/>
      <c r="AH215" s="196"/>
      <c r="AI215" s="196"/>
      <c r="AJ215" s="196"/>
      <c r="AK215" s="196"/>
      <c r="AL215" s="196"/>
      <c r="AM215" s="196"/>
      <c r="AN215" s="196"/>
      <c r="AO215" s="196"/>
      <c r="AP215" s="196"/>
      <c r="AQ215" s="196"/>
      <c r="AR215" s="196"/>
      <c r="AS215" s="196"/>
      <c r="AT215" s="197"/>
      <c r="AU215" s="198">
        <v>0</v>
      </c>
      <c r="AV215" s="199">
        <v>0</v>
      </c>
      <c r="AW215" s="199">
        <v>0</v>
      </c>
      <c r="AX215" s="199">
        <v>0</v>
      </c>
      <c r="AY215" s="200">
        <v>0</v>
      </c>
      <c r="BA215" s="44" t="str">
        <f t="shared" ca="1" si="37"/>
        <v>NGT_TO</v>
      </c>
      <c r="BB215" s="44" t="str">
        <f t="shared" si="35"/>
        <v>Fixed Inputs</v>
      </c>
      <c r="BC215" s="44" t="str">
        <f t="shared" si="33"/>
        <v>Variant allowances</v>
      </c>
      <c r="BD215" s="44" t="str">
        <f t="shared" si="36"/>
        <v>Totex variant allowances allocation percentages</v>
      </c>
    </row>
    <row r="216" spans="5:56">
      <c r="E216" s="212" t="str" cm="1">
        <f t="array" ref="E216">INDEX($E$128:$E$170,INT((ROW()-ROW($E$173))/6)+1)</f>
        <v>Physical Security Price Control Deliverable - Re-Opener Element</v>
      </c>
      <c r="G216" s="43" t="s">
        <v>33</v>
      </c>
      <c r="H216" s="43" t="s">
        <v>332</v>
      </c>
      <c r="AU216" s="164">
        <v>0</v>
      </c>
      <c r="AV216" s="29">
        <v>0</v>
      </c>
      <c r="AW216" s="29">
        <v>0</v>
      </c>
      <c r="AX216" s="29">
        <v>0</v>
      </c>
      <c r="AY216" s="184">
        <v>0</v>
      </c>
      <c r="BA216" s="44" t="str">
        <f t="shared" ca="1" si="37"/>
        <v>NGT_TO</v>
      </c>
      <c r="BB216" s="44" t="str">
        <f t="shared" si="35"/>
        <v>Fixed Inputs</v>
      </c>
      <c r="BC216" s="44" t="str">
        <f t="shared" si="33"/>
        <v>Variant allowances</v>
      </c>
      <c r="BD216" s="44" t="str">
        <f t="shared" si="36"/>
        <v>Totex variant allowances allocation percentages</v>
      </c>
    </row>
    <row r="217" spans="5:56">
      <c r="E217" s="212" t="str" cm="1">
        <f t="array" ref="E217">INDEX($E$128:$E$170,INT((ROW()-ROW($E$173))/6)+1)</f>
        <v>Physical Security Price Control Deliverable - Re-Opener Element</v>
      </c>
      <c r="G217" s="43" t="s">
        <v>33</v>
      </c>
      <c r="H217" s="43" t="s">
        <v>333</v>
      </c>
      <c r="AU217" s="164">
        <v>0</v>
      </c>
      <c r="AV217" s="29">
        <v>0</v>
      </c>
      <c r="AW217" s="29">
        <v>0</v>
      </c>
      <c r="AX217" s="29">
        <v>0</v>
      </c>
      <c r="AY217" s="184">
        <v>0</v>
      </c>
      <c r="BA217" s="44" t="str">
        <f t="shared" ca="1" si="37"/>
        <v>NGT_TO</v>
      </c>
      <c r="BB217" s="44" t="str">
        <f t="shared" si="35"/>
        <v>Fixed Inputs</v>
      </c>
      <c r="BC217" s="44" t="str">
        <f t="shared" si="33"/>
        <v>Variant allowances</v>
      </c>
      <c r="BD217" s="44" t="str">
        <f t="shared" si="36"/>
        <v>Totex variant allowances allocation percentages</v>
      </c>
    </row>
    <row r="218" spans="5:56">
      <c r="E218" s="212" t="str" cm="1">
        <f t="array" ref="E218">INDEX($E$128:$E$170,INT((ROW()-ROW($E$173))/6)+1)</f>
        <v>Physical Security Price Control Deliverable - Re-Opener Element</v>
      </c>
      <c r="G218" s="43" t="s">
        <v>33</v>
      </c>
      <c r="H218" s="43" t="s">
        <v>275</v>
      </c>
      <c r="AU218" s="164">
        <v>0</v>
      </c>
      <c r="AV218" s="29">
        <v>0</v>
      </c>
      <c r="AW218" s="29">
        <v>0</v>
      </c>
      <c r="AX218" s="29">
        <v>0</v>
      </c>
      <c r="AY218" s="184">
        <v>0</v>
      </c>
      <c r="BA218" s="44" t="str">
        <f t="shared" ca="1" si="37"/>
        <v>NGT_TO</v>
      </c>
      <c r="BB218" s="44" t="str">
        <f t="shared" si="35"/>
        <v>Fixed Inputs</v>
      </c>
      <c r="BC218" s="44" t="str">
        <f t="shared" si="33"/>
        <v>Variant allowances</v>
      </c>
      <c r="BD218" s="44" t="str">
        <f t="shared" si="36"/>
        <v>Totex variant allowances allocation percentages</v>
      </c>
    </row>
    <row r="219" spans="5:56">
      <c r="E219" s="212" t="str" cm="1">
        <f t="array" ref="E219">INDEX($E$128:$E$170,INT((ROW()-ROW($E$173))/6)+1)</f>
        <v>Physical Security Price Control Deliverable - Re-Opener Element</v>
      </c>
      <c r="G219" s="43" t="s">
        <v>33</v>
      </c>
      <c r="H219" s="43" t="s">
        <v>273</v>
      </c>
      <c r="AU219" s="164">
        <v>0</v>
      </c>
      <c r="AV219" s="29">
        <v>0</v>
      </c>
      <c r="AW219" s="29">
        <v>0</v>
      </c>
      <c r="AX219" s="29">
        <v>0</v>
      </c>
      <c r="AY219" s="184">
        <v>0</v>
      </c>
      <c r="BA219" s="44" t="str">
        <f t="shared" ca="1" si="37"/>
        <v>NGT_TO</v>
      </c>
      <c r="BB219" s="44" t="str">
        <f t="shared" si="35"/>
        <v>Fixed Inputs</v>
      </c>
      <c r="BC219" s="44" t="str">
        <f t="shared" si="33"/>
        <v>Variant allowances</v>
      </c>
      <c r="BD219" s="44" t="str">
        <f t="shared" si="36"/>
        <v>Totex variant allowances allocation percentages</v>
      </c>
    </row>
    <row r="220" spans="5:56">
      <c r="E220" s="212" t="str" cm="1">
        <f t="array" ref="E220">INDEX($E$128:$E$170,INT((ROW()-ROW($E$173))/6)+1)</f>
        <v>Physical Security Price Control Deliverable - Re-Opener Element</v>
      </c>
      <c r="G220" s="43" t="s">
        <v>33</v>
      </c>
      <c r="H220" s="43" t="s">
        <v>274</v>
      </c>
      <c r="AU220" s="255">
        <v>0</v>
      </c>
      <c r="AV220" s="250">
        <v>0</v>
      </c>
      <c r="AW220" s="250">
        <v>0</v>
      </c>
      <c r="AX220" s="250">
        <v>0</v>
      </c>
      <c r="AY220" s="251">
        <v>0</v>
      </c>
      <c r="BA220" s="44" t="str">
        <f t="shared" ca="1" si="37"/>
        <v>NGT_TO</v>
      </c>
      <c r="BB220" s="44" t="str">
        <f t="shared" si="35"/>
        <v>Fixed Inputs</v>
      </c>
      <c r="BC220" s="44" t="str">
        <f t="shared" si="33"/>
        <v>Variant allowances</v>
      </c>
      <c r="BD220" s="44" t="str">
        <f t="shared" si="36"/>
        <v>Totex variant allowances allocation percentages</v>
      </c>
    </row>
    <row r="221" spans="5:56">
      <c r="E221" s="195" t="str" cm="1">
        <f t="array" ref="E221">INDEX($E$128:$E$170,INT((ROW()-ROW($E$173))/6)+1)</f>
        <v>Small Decarbonisation Projects Re-opener</v>
      </c>
      <c r="F221" s="196"/>
      <c r="G221" s="196" t="s">
        <v>33</v>
      </c>
      <c r="H221" s="196" t="s">
        <v>331</v>
      </c>
      <c r="I221" s="196"/>
      <c r="J221" s="196"/>
      <c r="K221" s="196"/>
      <c r="L221" s="196"/>
      <c r="M221" s="196"/>
      <c r="N221" s="196"/>
      <c r="O221" s="196"/>
      <c r="P221" s="196"/>
      <c r="Q221" s="196"/>
      <c r="R221" s="196"/>
      <c r="S221" s="196"/>
      <c r="T221" s="196"/>
      <c r="U221" s="196"/>
      <c r="V221" s="196"/>
      <c r="W221" s="196"/>
      <c r="X221" s="196"/>
      <c r="Y221" s="196"/>
      <c r="Z221" s="196"/>
      <c r="AA221" s="196"/>
      <c r="AB221" s="196"/>
      <c r="AC221" s="196"/>
      <c r="AD221" s="196"/>
      <c r="AE221" s="196"/>
      <c r="AF221" s="196"/>
      <c r="AG221" s="196"/>
      <c r="AH221" s="196"/>
      <c r="AI221" s="196"/>
      <c r="AJ221" s="196"/>
      <c r="AK221" s="196"/>
      <c r="AL221" s="196"/>
      <c r="AM221" s="196"/>
      <c r="AN221" s="196"/>
      <c r="AO221" s="196"/>
      <c r="AP221" s="196"/>
      <c r="AQ221" s="196"/>
      <c r="AR221" s="196"/>
      <c r="AS221" s="196"/>
      <c r="AT221" s="197"/>
      <c r="AU221" s="198">
        <v>0</v>
      </c>
      <c r="AV221" s="199">
        <v>0</v>
      </c>
      <c r="AW221" s="199">
        <v>0</v>
      </c>
      <c r="AX221" s="199">
        <v>0</v>
      </c>
      <c r="AY221" s="200">
        <v>0</v>
      </c>
      <c r="BA221" s="44" t="str">
        <f t="shared" ca="1" si="37"/>
        <v>NGT_TO</v>
      </c>
      <c r="BB221" s="44" t="str">
        <f t="shared" si="35"/>
        <v>Fixed Inputs</v>
      </c>
      <c r="BC221" s="44" t="str">
        <f t="shared" si="33"/>
        <v>Variant allowances</v>
      </c>
      <c r="BD221" s="44" t="str">
        <f t="shared" si="36"/>
        <v>Totex variant allowances allocation percentages</v>
      </c>
    </row>
    <row r="222" spans="5:56">
      <c r="E222" s="212" t="str" cm="1">
        <f t="array" ref="E222">INDEX($E$128:$E$170,INT((ROW()-ROW($E$173))/6)+1)</f>
        <v>Small Decarbonisation Projects Re-opener</v>
      </c>
      <c r="G222" s="43" t="s">
        <v>33</v>
      </c>
      <c r="H222" s="43" t="s">
        <v>332</v>
      </c>
      <c r="AU222" s="164">
        <v>0</v>
      </c>
      <c r="AV222" s="29">
        <v>0</v>
      </c>
      <c r="AW222" s="29">
        <v>0</v>
      </c>
      <c r="AX222" s="29">
        <v>0</v>
      </c>
      <c r="AY222" s="184">
        <v>0</v>
      </c>
      <c r="BA222" s="44" t="str">
        <f t="shared" ca="1" si="37"/>
        <v>NGT_TO</v>
      </c>
      <c r="BB222" s="44" t="str">
        <f t="shared" si="35"/>
        <v>Fixed Inputs</v>
      </c>
      <c r="BC222" s="44" t="str">
        <f t="shared" si="33"/>
        <v>Variant allowances</v>
      </c>
      <c r="BD222" s="44" t="str">
        <f t="shared" si="36"/>
        <v>Totex variant allowances allocation percentages</v>
      </c>
    </row>
    <row r="223" spans="5:56">
      <c r="E223" s="212" t="str" cm="1">
        <f t="array" ref="E223">INDEX($E$128:$E$170,INT((ROW()-ROW($E$173))/6)+1)</f>
        <v>Small Decarbonisation Projects Re-opener</v>
      </c>
      <c r="G223" s="43" t="s">
        <v>33</v>
      </c>
      <c r="H223" s="43" t="s">
        <v>333</v>
      </c>
      <c r="AU223" s="164">
        <v>0.93</v>
      </c>
      <c r="AV223" s="29">
        <v>0.93</v>
      </c>
      <c r="AW223" s="29">
        <v>0.93</v>
      </c>
      <c r="AX223" s="29">
        <v>0.93</v>
      </c>
      <c r="AY223" s="184">
        <v>0.93</v>
      </c>
      <c r="BA223" s="44" t="str">
        <f t="shared" ca="1" si="37"/>
        <v>NGT_TO</v>
      </c>
      <c r="BB223" s="44" t="str">
        <f t="shared" si="35"/>
        <v>Fixed Inputs</v>
      </c>
      <c r="BC223" s="44" t="str">
        <f t="shared" si="33"/>
        <v>Variant allowances</v>
      </c>
      <c r="BD223" s="44" t="str">
        <f t="shared" si="36"/>
        <v>Totex variant allowances allocation percentages</v>
      </c>
    </row>
    <row r="224" spans="5:56">
      <c r="E224" s="212" t="str" cm="1">
        <f t="array" ref="E224">INDEX($E$128:$E$170,INT((ROW()-ROW($E$173))/6)+1)</f>
        <v>Small Decarbonisation Projects Re-opener</v>
      </c>
      <c r="G224" s="43" t="s">
        <v>33</v>
      </c>
      <c r="H224" s="43" t="s">
        <v>275</v>
      </c>
      <c r="AU224" s="164">
        <v>0</v>
      </c>
      <c r="AV224" s="29">
        <v>0</v>
      </c>
      <c r="AW224" s="29">
        <v>0</v>
      </c>
      <c r="AX224" s="29">
        <v>0</v>
      </c>
      <c r="AY224" s="184">
        <v>0</v>
      </c>
      <c r="BA224" s="44" t="str">
        <f t="shared" ca="1" si="37"/>
        <v>NGT_TO</v>
      </c>
      <c r="BB224" s="44" t="str">
        <f t="shared" si="35"/>
        <v>Fixed Inputs</v>
      </c>
      <c r="BC224" s="44" t="str">
        <f t="shared" si="33"/>
        <v>Variant allowances</v>
      </c>
      <c r="BD224" s="44" t="str">
        <f t="shared" si="36"/>
        <v>Totex variant allowances allocation percentages</v>
      </c>
    </row>
    <row r="225" spans="5:56">
      <c r="E225" s="212" t="str" cm="1">
        <f t="array" ref="E225">INDEX($E$128:$E$170,INT((ROW()-ROW($E$173))/6)+1)</f>
        <v>Small Decarbonisation Projects Re-opener</v>
      </c>
      <c r="G225" s="43" t="s">
        <v>33</v>
      </c>
      <c r="H225" s="43" t="s">
        <v>273</v>
      </c>
      <c r="AU225" s="164">
        <v>7.0000000000000007E-2</v>
      </c>
      <c r="AV225" s="29">
        <v>7.0000000000000007E-2</v>
      </c>
      <c r="AW225" s="29">
        <v>7.0000000000000007E-2</v>
      </c>
      <c r="AX225" s="29">
        <v>7.0000000000000007E-2</v>
      </c>
      <c r="AY225" s="184">
        <v>7.0000000000000007E-2</v>
      </c>
      <c r="BA225" s="44" t="str">
        <f t="shared" ca="1" si="37"/>
        <v>NGT_TO</v>
      </c>
      <c r="BB225" s="44" t="str">
        <f t="shared" si="35"/>
        <v>Fixed Inputs</v>
      </c>
      <c r="BC225" s="44" t="str">
        <f t="shared" si="33"/>
        <v>Variant allowances</v>
      </c>
      <c r="BD225" s="44" t="str">
        <f t="shared" si="36"/>
        <v>Totex variant allowances allocation percentages</v>
      </c>
    </row>
    <row r="226" spans="5:56">
      <c r="E226" s="201" t="str" cm="1">
        <f t="array" ref="E226">INDEX($E$128:$E$170,INT((ROW()-ROW($E$173))/6)+1)</f>
        <v>Small Decarbonisation Projects Re-opener</v>
      </c>
      <c r="F226" s="202"/>
      <c r="G226" s="202" t="s">
        <v>33</v>
      </c>
      <c r="H226" s="202" t="s">
        <v>274</v>
      </c>
      <c r="I226" s="202"/>
      <c r="J226" s="202"/>
      <c r="K226" s="202"/>
      <c r="L226" s="202"/>
      <c r="M226" s="202"/>
      <c r="N226" s="202"/>
      <c r="O226" s="202"/>
      <c r="P226" s="202"/>
      <c r="Q226" s="202"/>
      <c r="R226" s="202"/>
      <c r="S226" s="202"/>
      <c r="T226" s="202"/>
      <c r="U226" s="202"/>
      <c r="V226" s="202"/>
      <c r="W226" s="202"/>
      <c r="X226" s="202"/>
      <c r="Y226" s="202"/>
      <c r="Z226" s="202"/>
      <c r="AA226" s="202"/>
      <c r="AB226" s="202"/>
      <c r="AC226" s="202"/>
      <c r="AD226" s="202"/>
      <c r="AE226" s="202"/>
      <c r="AF226" s="202"/>
      <c r="AG226" s="202"/>
      <c r="AH226" s="202"/>
      <c r="AI226" s="202"/>
      <c r="AJ226" s="202"/>
      <c r="AK226" s="202"/>
      <c r="AL226" s="202"/>
      <c r="AM226" s="202"/>
      <c r="AN226" s="202"/>
      <c r="AO226" s="202"/>
      <c r="AP226" s="202"/>
      <c r="AQ226" s="202"/>
      <c r="AR226" s="202"/>
      <c r="AS226" s="202"/>
      <c r="AT226" s="203"/>
      <c r="AU226" s="204">
        <v>0</v>
      </c>
      <c r="AV226" s="205">
        <v>0</v>
      </c>
      <c r="AW226" s="205">
        <v>0</v>
      </c>
      <c r="AX226" s="205">
        <v>0</v>
      </c>
      <c r="AY226" s="206">
        <v>0</v>
      </c>
      <c r="BA226" s="44" t="str">
        <f t="shared" ca="1" si="37"/>
        <v>NGT_TO</v>
      </c>
      <c r="BB226" s="44" t="str">
        <f t="shared" si="35"/>
        <v>Fixed Inputs</v>
      </c>
      <c r="BC226" s="44" t="str">
        <f t="shared" si="33"/>
        <v>Variant allowances</v>
      </c>
      <c r="BD226" s="44" t="str">
        <f t="shared" si="36"/>
        <v>Totex variant allowances allocation percentages</v>
      </c>
    </row>
    <row r="227" spans="5:56">
      <c r="E227" s="212" t="str" cm="1">
        <f t="array" ref="E227">INDEX($E$128:$E$170,INT((ROW()-ROW($E$173))/6)+1)</f>
        <v>Decarbonisation Project Development Fund UIOLI</v>
      </c>
      <c r="G227" s="43" t="s">
        <v>33</v>
      </c>
      <c r="H227" s="43" t="s">
        <v>331</v>
      </c>
      <c r="AU227" s="207">
        <v>0</v>
      </c>
      <c r="AV227" s="208">
        <v>0</v>
      </c>
      <c r="AW227" s="208">
        <v>0</v>
      </c>
      <c r="AX227" s="208">
        <v>0</v>
      </c>
      <c r="AY227" s="220">
        <v>0</v>
      </c>
      <c r="BA227" s="44" t="str">
        <f t="shared" ca="1" si="37"/>
        <v>NGT_TO</v>
      </c>
      <c r="BB227" s="44" t="str">
        <f t="shared" si="35"/>
        <v>Fixed Inputs</v>
      </c>
      <c r="BC227" s="44" t="str">
        <f t="shared" si="33"/>
        <v>Variant allowances</v>
      </c>
      <c r="BD227" s="44" t="str">
        <f t="shared" si="36"/>
        <v>Totex variant allowances allocation percentages</v>
      </c>
    </row>
    <row r="228" spans="5:56">
      <c r="E228" s="212" t="str" cm="1">
        <f t="array" ref="E228">INDEX($E$128:$E$170,INT((ROW()-ROW($E$173))/6)+1)</f>
        <v>Decarbonisation Project Development Fund UIOLI</v>
      </c>
      <c r="G228" s="43" t="s">
        <v>33</v>
      </c>
      <c r="H228" s="43" t="s">
        <v>332</v>
      </c>
      <c r="AU228" s="165">
        <v>0</v>
      </c>
      <c r="AV228" s="32">
        <v>0</v>
      </c>
      <c r="AW228" s="32">
        <v>0</v>
      </c>
      <c r="AX228" s="32">
        <v>0</v>
      </c>
      <c r="AY228" s="213">
        <v>0</v>
      </c>
      <c r="BA228" s="44" t="str">
        <f t="shared" ca="1" si="37"/>
        <v>NGT_TO</v>
      </c>
      <c r="BB228" s="44" t="str">
        <f t="shared" si="35"/>
        <v>Fixed Inputs</v>
      </c>
      <c r="BC228" s="44" t="str">
        <f t="shared" si="33"/>
        <v>Variant allowances</v>
      </c>
      <c r="BD228" s="44" t="str">
        <f t="shared" si="36"/>
        <v>Totex variant allowances allocation percentages</v>
      </c>
    </row>
    <row r="229" spans="5:56">
      <c r="E229" s="212" t="str" cm="1">
        <f t="array" ref="E229">INDEX($E$128:$E$170,INT((ROW()-ROW($E$173))/6)+1)</f>
        <v>Decarbonisation Project Development Fund UIOLI</v>
      </c>
      <c r="G229" s="43" t="s">
        <v>33</v>
      </c>
      <c r="H229" s="43" t="s">
        <v>333</v>
      </c>
      <c r="AU229" s="165">
        <v>1</v>
      </c>
      <c r="AV229" s="165">
        <v>1</v>
      </c>
      <c r="AW229" s="165">
        <v>1</v>
      </c>
      <c r="AX229" s="165">
        <v>1</v>
      </c>
      <c r="AY229" s="165">
        <v>1</v>
      </c>
      <c r="AZ229"/>
      <c r="BA229" s="44" t="str">
        <f t="shared" ca="1" si="37"/>
        <v>NGT_TO</v>
      </c>
      <c r="BB229" s="44" t="str">
        <f t="shared" si="35"/>
        <v>Fixed Inputs</v>
      </c>
      <c r="BC229" s="44" t="str">
        <f t="shared" si="33"/>
        <v>Variant allowances</v>
      </c>
      <c r="BD229" s="44" t="str">
        <f t="shared" si="36"/>
        <v>Totex variant allowances allocation percentages</v>
      </c>
    </row>
    <row r="230" spans="5:56">
      <c r="E230" s="212" t="str" cm="1">
        <f t="array" ref="E230">INDEX($E$128:$E$170,INT((ROW()-ROW($E$173))/6)+1)</f>
        <v>Decarbonisation Project Development Fund UIOLI</v>
      </c>
      <c r="G230" s="43" t="s">
        <v>33</v>
      </c>
      <c r="H230" s="43" t="s">
        <v>275</v>
      </c>
      <c r="AU230" s="165">
        <v>0</v>
      </c>
      <c r="AV230" s="32">
        <v>0</v>
      </c>
      <c r="AW230" s="32">
        <v>0</v>
      </c>
      <c r="AX230" s="32">
        <v>0</v>
      </c>
      <c r="AY230" s="213">
        <v>0</v>
      </c>
      <c r="BA230" s="44" t="str">
        <f t="shared" ca="1" si="37"/>
        <v>NGT_TO</v>
      </c>
      <c r="BB230" s="44" t="str">
        <f t="shared" si="35"/>
        <v>Fixed Inputs</v>
      </c>
      <c r="BC230" s="44" t="str">
        <f t="shared" si="33"/>
        <v>Variant allowances</v>
      </c>
      <c r="BD230" s="44" t="str">
        <f t="shared" si="36"/>
        <v>Totex variant allowances allocation percentages</v>
      </c>
    </row>
    <row r="231" spans="5:56">
      <c r="E231" s="212" t="str" cm="1">
        <f t="array" ref="E231">INDEX($E$128:$E$170,INT((ROW()-ROW($E$173))/6)+1)</f>
        <v>Decarbonisation Project Development Fund UIOLI</v>
      </c>
      <c r="G231" s="43" t="s">
        <v>33</v>
      </c>
      <c r="H231" s="43" t="s">
        <v>273</v>
      </c>
      <c r="AU231" s="165">
        <v>0</v>
      </c>
      <c r="AV231" s="32">
        <v>0</v>
      </c>
      <c r="AW231" s="32">
        <v>0</v>
      </c>
      <c r="AX231" s="32">
        <v>0</v>
      </c>
      <c r="AY231" s="213">
        <v>0</v>
      </c>
      <c r="BA231" s="44" t="str">
        <f t="shared" ca="1" si="37"/>
        <v>NGT_TO</v>
      </c>
      <c r="BB231" s="44" t="str">
        <f t="shared" si="35"/>
        <v>Fixed Inputs</v>
      </c>
      <c r="BC231" s="44" t="str">
        <f t="shared" si="33"/>
        <v>Variant allowances</v>
      </c>
      <c r="BD231" s="44" t="str">
        <f t="shared" si="36"/>
        <v>Totex variant allowances allocation percentages</v>
      </c>
    </row>
    <row r="232" spans="5:56">
      <c r="E232" s="212" t="str" cm="1">
        <f t="array" ref="E232">INDEX($E$128:$E$170,INT((ROW()-ROW($E$173))/6)+1)</f>
        <v>Decarbonisation Project Development Fund UIOLI</v>
      </c>
      <c r="G232" s="43" t="s">
        <v>33</v>
      </c>
      <c r="H232" s="43" t="s">
        <v>274</v>
      </c>
      <c r="AU232" s="217">
        <v>0</v>
      </c>
      <c r="AV232" s="218">
        <v>0</v>
      </c>
      <c r="AW232" s="218">
        <v>0</v>
      </c>
      <c r="AX232" s="218">
        <v>0</v>
      </c>
      <c r="AY232" s="219">
        <v>0</v>
      </c>
      <c r="BA232" s="44" t="str">
        <f t="shared" ca="1" si="37"/>
        <v>NGT_TO</v>
      </c>
      <c r="BB232" s="44" t="str">
        <f t="shared" si="35"/>
        <v>Fixed Inputs</v>
      </c>
      <c r="BC232" s="44" t="str">
        <f t="shared" si="33"/>
        <v>Variant allowances</v>
      </c>
      <c r="BD232" s="44" t="str">
        <f t="shared" si="36"/>
        <v>Totex variant allowances allocation percentages</v>
      </c>
    </row>
    <row r="233" spans="5:56">
      <c r="E233" s="195" t="str" cm="1">
        <f t="array" ref="E233">INDEX($E$128:$E$170,INT((ROW()-ROW($E$173))/6)+1)</f>
        <v>Decarbonisation and Environmental Policy Re-Opener</v>
      </c>
      <c r="F233" s="196"/>
      <c r="G233" s="196" t="s">
        <v>33</v>
      </c>
      <c r="H233" s="196" t="s">
        <v>331</v>
      </c>
      <c r="I233" s="196"/>
      <c r="J233" s="196"/>
      <c r="K233" s="196"/>
      <c r="L233" s="196"/>
      <c r="M233" s="196"/>
      <c r="N233" s="196"/>
      <c r="O233" s="196"/>
      <c r="P233" s="196"/>
      <c r="Q233" s="196"/>
      <c r="R233" s="196"/>
      <c r="S233" s="196"/>
      <c r="T233" s="196"/>
      <c r="U233" s="196"/>
      <c r="V233" s="196"/>
      <c r="W233" s="196"/>
      <c r="X233" s="196"/>
      <c r="Y233" s="196"/>
      <c r="Z233" s="196"/>
      <c r="AA233" s="196"/>
      <c r="AB233" s="196"/>
      <c r="AC233" s="196"/>
      <c r="AD233" s="196"/>
      <c r="AE233" s="196"/>
      <c r="AF233" s="196"/>
      <c r="AG233" s="196"/>
      <c r="AH233" s="196"/>
      <c r="AI233" s="196"/>
      <c r="AJ233" s="196"/>
      <c r="AK233" s="196"/>
      <c r="AL233" s="196"/>
      <c r="AM233" s="196"/>
      <c r="AN233" s="196"/>
      <c r="AO233" s="196"/>
      <c r="AP233" s="196"/>
      <c r="AQ233" s="196"/>
      <c r="AR233" s="196"/>
      <c r="AS233" s="196"/>
      <c r="AT233" s="197"/>
      <c r="AU233" s="198">
        <v>0</v>
      </c>
      <c r="AV233" s="199">
        <v>0</v>
      </c>
      <c r="AW233" s="199">
        <v>0</v>
      </c>
      <c r="AX233" s="199">
        <v>0</v>
      </c>
      <c r="AY233" s="200">
        <v>0</v>
      </c>
      <c r="BA233" s="44" t="str">
        <f t="shared" ca="1" si="37"/>
        <v>NGT_TO</v>
      </c>
      <c r="BB233" s="44" t="str">
        <f t="shared" si="35"/>
        <v>Fixed Inputs</v>
      </c>
      <c r="BC233" s="44" t="str">
        <f t="shared" si="33"/>
        <v>Variant allowances</v>
      </c>
      <c r="BD233" s="44" t="str">
        <f t="shared" si="36"/>
        <v>Totex variant allowances allocation percentages</v>
      </c>
    </row>
    <row r="234" spans="5:56">
      <c r="E234" s="212" t="str" cm="1">
        <f t="array" ref="E234">INDEX($E$128:$E$170,INT((ROW()-ROW($E$173))/6)+1)</f>
        <v>Decarbonisation and Environmental Policy Re-Opener</v>
      </c>
      <c r="G234" s="43" t="s">
        <v>33</v>
      </c>
      <c r="H234" s="43" t="s">
        <v>332</v>
      </c>
      <c r="AU234" s="164">
        <v>1</v>
      </c>
      <c r="AV234" s="29">
        <v>1</v>
      </c>
      <c r="AW234" s="29">
        <v>1</v>
      </c>
      <c r="AX234" s="29">
        <v>1</v>
      </c>
      <c r="AY234" s="184">
        <v>1</v>
      </c>
      <c r="BA234" s="44" t="str">
        <f t="shared" ca="1" si="37"/>
        <v>NGT_TO</v>
      </c>
      <c r="BB234" s="44" t="str">
        <f t="shared" si="35"/>
        <v>Fixed Inputs</v>
      </c>
      <c r="BC234" s="44" t="str">
        <f t="shared" si="33"/>
        <v>Variant allowances</v>
      </c>
      <c r="BD234" s="44" t="str">
        <f t="shared" si="36"/>
        <v>Totex variant allowances allocation percentages</v>
      </c>
    </row>
    <row r="235" spans="5:56">
      <c r="E235" s="212" t="str" cm="1">
        <f t="array" ref="E235">INDEX($E$128:$E$170,INT((ROW()-ROW($E$173))/6)+1)</f>
        <v>Decarbonisation and Environmental Policy Re-Opener</v>
      </c>
      <c r="G235" s="43" t="s">
        <v>33</v>
      </c>
      <c r="H235" s="43" t="s">
        <v>333</v>
      </c>
      <c r="AU235" s="164">
        <v>0</v>
      </c>
      <c r="AV235" s="29">
        <v>0</v>
      </c>
      <c r="AW235" s="29">
        <v>0</v>
      </c>
      <c r="AX235" s="29">
        <v>0</v>
      </c>
      <c r="AY235" s="184">
        <v>0</v>
      </c>
      <c r="BA235" s="44" t="str">
        <f t="shared" ca="1" si="37"/>
        <v>NGT_TO</v>
      </c>
      <c r="BB235" s="44" t="str">
        <f t="shared" si="35"/>
        <v>Fixed Inputs</v>
      </c>
      <c r="BC235" s="44" t="str">
        <f t="shared" si="33"/>
        <v>Variant allowances</v>
      </c>
      <c r="BD235" s="44" t="str">
        <f t="shared" si="36"/>
        <v>Totex variant allowances allocation percentages</v>
      </c>
    </row>
    <row r="236" spans="5:56">
      <c r="E236" s="212" t="str" cm="1">
        <f t="array" ref="E236">INDEX($E$128:$E$170,INT((ROW()-ROW($E$173))/6)+1)</f>
        <v>Decarbonisation and Environmental Policy Re-Opener</v>
      </c>
      <c r="G236" s="43" t="s">
        <v>33</v>
      </c>
      <c r="H236" s="43" t="s">
        <v>275</v>
      </c>
      <c r="AU236" s="164">
        <v>0</v>
      </c>
      <c r="AV236" s="29">
        <v>0</v>
      </c>
      <c r="AW236" s="29">
        <v>0</v>
      </c>
      <c r="AX236" s="29">
        <v>0</v>
      </c>
      <c r="AY236" s="184">
        <v>0</v>
      </c>
      <c r="BA236" s="44" t="str">
        <f t="shared" ca="1" si="37"/>
        <v>NGT_TO</v>
      </c>
      <c r="BB236" s="44" t="str">
        <f t="shared" si="35"/>
        <v>Fixed Inputs</v>
      </c>
      <c r="BC236" s="44" t="str">
        <f t="shared" si="33"/>
        <v>Variant allowances</v>
      </c>
      <c r="BD236" s="44" t="str">
        <f t="shared" si="36"/>
        <v>Totex variant allowances allocation percentages</v>
      </c>
    </row>
    <row r="237" spans="5:56">
      <c r="E237" s="212" t="str" cm="1">
        <f t="array" ref="E237">INDEX($E$128:$E$170,INT((ROW()-ROW($E$173))/6)+1)</f>
        <v>Decarbonisation and Environmental Policy Re-Opener</v>
      </c>
      <c r="G237" s="43" t="s">
        <v>33</v>
      </c>
      <c r="H237" s="43" t="s">
        <v>273</v>
      </c>
      <c r="AU237" s="164">
        <v>0</v>
      </c>
      <c r="AV237" s="29">
        <v>0</v>
      </c>
      <c r="AW237" s="29">
        <v>0</v>
      </c>
      <c r="AX237" s="29">
        <v>0</v>
      </c>
      <c r="AY237" s="184">
        <v>0</v>
      </c>
      <c r="BA237" s="44" t="str">
        <f t="shared" ca="1" si="37"/>
        <v>NGT_TO</v>
      </c>
      <c r="BB237" s="44" t="str">
        <f t="shared" ref="BB237:BB268" si="38">$A$125</f>
        <v>Fixed Inputs</v>
      </c>
      <c r="BC237" s="44" t="str">
        <f t="shared" ref="BC237:BC300" si="39">$B$126</f>
        <v>Variant allowances</v>
      </c>
      <c r="BD237" s="44" t="str">
        <f t="shared" ref="BD237:BD268" si="40">$C$172</f>
        <v>Totex variant allowances allocation percentages</v>
      </c>
    </row>
    <row r="238" spans="5:56">
      <c r="E238" s="212" t="str" cm="1">
        <f t="array" ref="E238">INDEX($E$128:$E$170,INT((ROW()-ROW($E$173))/6)+1)</f>
        <v>Decarbonisation and Environmental Policy Re-Opener</v>
      </c>
      <c r="G238" s="43" t="s">
        <v>33</v>
      </c>
      <c r="H238" s="43" t="s">
        <v>274</v>
      </c>
      <c r="AU238" s="255">
        <v>0</v>
      </c>
      <c r="AV238" s="250">
        <v>0</v>
      </c>
      <c r="AW238" s="250">
        <v>0</v>
      </c>
      <c r="AX238" s="250">
        <v>0</v>
      </c>
      <c r="AY238" s="251">
        <v>0</v>
      </c>
      <c r="BA238" s="44" t="str">
        <f t="shared" ca="1" si="37"/>
        <v>NGT_TO</v>
      </c>
      <c r="BB238" s="44" t="str">
        <f t="shared" si="38"/>
        <v>Fixed Inputs</v>
      </c>
      <c r="BC238" s="44" t="str">
        <f t="shared" si="39"/>
        <v>Variant allowances</v>
      </c>
      <c r="BD238" s="44" t="str">
        <f t="shared" si="40"/>
        <v>Totex variant allowances allocation percentages</v>
      </c>
    </row>
    <row r="239" spans="5:56">
      <c r="E239" s="195" t="str" cm="1">
        <f t="array" ref="E239">INDEX($E$128:$E$170,INT((ROW()-ROW($E$173))/6)+1)</f>
        <v>Digitalisation Re-opener</v>
      </c>
      <c r="F239" s="196"/>
      <c r="G239" s="196" t="s">
        <v>33</v>
      </c>
      <c r="H239" s="196" t="s">
        <v>331</v>
      </c>
      <c r="I239" s="196"/>
      <c r="J239" s="196"/>
      <c r="K239" s="196"/>
      <c r="L239" s="196"/>
      <c r="M239" s="196"/>
      <c r="N239" s="196"/>
      <c r="O239" s="196"/>
      <c r="P239" s="196"/>
      <c r="Q239" s="196"/>
      <c r="R239" s="196"/>
      <c r="S239" s="196"/>
      <c r="T239" s="196"/>
      <c r="U239" s="196"/>
      <c r="V239" s="196"/>
      <c r="W239" s="196"/>
      <c r="X239" s="196"/>
      <c r="Y239" s="196"/>
      <c r="Z239" s="196"/>
      <c r="AA239" s="196"/>
      <c r="AB239" s="196"/>
      <c r="AC239" s="196"/>
      <c r="AD239" s="196"/>
      <c r="AE239" s="196"/>
      <c r="AF239" s="196"/>
      <c r="AG239" s="196"/>
      <c r="AH239" s="196"/>
      <c r="AI239" s="196"/>
      <c r="AJ239" s="196"/>
      <c r="AK239" s="196"/>
      <c r="AL239" s="196"/>
      <c r="AM239" s="196"/>
      <c r="AN239" s="196"/>
      <c r="AO239" s="196"/>
      <c r="AP239" s="196"/>
      <c r="AQ239" s="196"/>
      <c r="AR239" s="196"/>
      <c r="AS239" s="196"/>
      <c r="AT239" s="197"/>
      <c r="AU239" s="198">
        <v>0</v>
      </c>
      <c r="AV239" s="199">
        <v>0</v>
      </c>
      <c r="AW239" s="199">
        <v>0</v>
      </c>
      <c r="AX239" s="199">
        <v>0</v>
      </c>
      <c r="AY239" s="200">
        <v>0</v>
      </c>
      <c r="BA239" s="44" t="str">
        <f t="shared" ca="1" si="37"/>
        <v>NGT_TO</v>
      </c>
      <c r="BB239" s="44" t="str">
        <f t="shared" si="38"/>
        <v>Fixed Inputs</v>
      </c>
      <c r="BC239" s="44" t="str">
        <f t="shared" si="39"/>
        <v>Variant allowances</v>
      </c>
      <c r="BD239" s="44" t="str">
        <f t="shared" si="40"/>
        <v>Totex variant allowances allocation percentages</v>
      </c>
    </row>
    <row r="240" spans="5:56">
      <c r="E240" s="212" t="str" cm="1">
        <f t="array" ref="E240">INDEX($E$128:$E$170,INT((ROW()-ROW($E$173))/6)+1)</f>
        <v>Digitalisation Re-opener</v>
      </c>
      <c r="G240" s="43" t="s">
        <v>33</v>
      </c>
      <c r="H240" s="43" t="s">
        <v>332</v>
      </c>
      <c r="AU240" s="164">
        <v>0</v>
      </c>
      <c r="AV240" s="29">
        <v>0</v>
      </c>
      <c r="AW240" s="29">
        <v>0</v>
      </c>
      <c r="AX240" s="29">
        <v>0</v>
      </c>
      <c r="AY240" s="184">
        <v>0</v>
      </c>
      <c r="BA240" s="44" t="str">
        <f t="shared" ca="1" si="37"/>
        <v>NGT_TO</v>
      </c>
      <c r="BB240" s="44" t="str">
        <f t="shared" si="38"/>
        <v>Fixed Inputs</v>
      </c>
      <c r="BC240" s="44" t="str">
        <f t="shared" si="39"/>
        <v>Variant allowances</v>
      </c>
      <c r="BD240" s="44" t="str">
        <f t="shared" si="40"/>
        <v>Totex variant allowances allocation percentages</v>
      </c>
    </row>
    <row r="241" spans="5:56">
      <c r="E241" s="212" t="str" cm="1">
        <f t="array" ref="E241">INDEX($E$128:$E$170,INT((ROW()-ROW($E$173))/6)+1)</f>
        <v>Digitalisation Re-opener</v>
      </c>
      <c r="G241" s="43" t="s">
        <v>33</v>
      </c>
      <c r="H241" s="43" t="s">
        <v>333</v>
      </c>
      <c r="AU241" s="164">
        <v>1</v>
      </c>
      <c r="AV241" s="29">
        <v>1</v>
      </c>
      <c r="AW241" s="29">
        <v>1</v>
      </c>
      <c r="AX241" s="29">
        <v>1</v>
      </c>
      <c r="AY241" s="184">
        <v>1</v>
      </c>
      <c r="BA241" s="44" t="str">
        <f t="shared" ca="1" si="37"/>
        <v>NGT_TO</v>
      </c>
      <c r="BB241" s="44" t="str">
        <f t="shared" si="38"/>
        <v>Fixed Inputs</v>
      </c>
      <c r="BC241" s="44" t="str">
        <f t="shared" si="39"/>
        <v>Variant allowances</v>
      </c>
      <c r="BD241" s="44" t="str">
        <f t="shared" si="40"/>
        <v>Totex variant allowances allocation percentages</v>
      </c>
    </row>
    <row r="242" spans="5:56">
      <c r="E242" s="212" t="str" cm="1">
        <f t="array" ref="E242">INDEX($E$128:$E$170,INT((ROW()-ROW($E$173))/6)+1)</f>
        <v>Digitalisation Re-opener</v>
      </c>
      <c r="G242" s="43" t="s">
        <v>33</v>
      </c>
      <c r="H242" s="43" t="s">
        <v>275</v>
      </c>
      <c r="AU242" s="164">
        <v>0</v>
      </c>
      <c r="AV242" s="29">
        <v>0</v>
      </c>
      <c r="AW242" s="29">
        <v>0</v>
      </c>
      <c r="AX242" s="29">
        <v>0</v>
      </c>
      <c r="AY242" s="184">
        <v>0</v>
      </c>
      <c r="BA242" s="44" t="str">
        <f t="shared" ca="1" si="37"/>
        <v>NGT_TO</v>
      </c>
      <c r="BB242" s="44" t="str">
        <f t="shared" si="38"/>
        <v>Fixed Inputs</v>
      </c>
      <c r="BC242" s="44" t="str">
        <f t="shared" si="39"/>
        <v>Variant allowances</v>
      </c>
      <c r="BD242" s="44" t="str">
        <f t="shared" si="40"/>
        <v>Totex variant allowances allocation percentages</v>
      </c>
    </row>
    <row r="243" spans="5:56">
      <c r="E243" s="212" t="str" cm="1">
        <f t="array" ref="E243">INDEX($E$128:$E$170,INT((ROW()-ROW($E$173))/6)+1)</f>
        <v>Digitalisation Re-opener</v>
      </c>
      <c r="G243" s="43" t="s">
        <v>33</v>
      </c>
      <c r="H243" s="43" t="s">
        <v>273</v>
      </c>
      <c r="AU243" s="164">
        <v>0</v>
      </c>
      <c r="AV243" s="29">
        <v>0</v>
      </c>
      <c r="AW243" s="29">
        <v>0</v>
      </c>
      <c r="AX243" s="29">
        <v>0</v>
      </c>
      <c r="AY243" s="184">
        <v>0</v>
      </c>
      <c r="BA243" s="44" t="str">
        <f t="shared" ca="1" si="37"/>
        <v>NGT_TO</v>
      </c>
      <c r="BB243" s="44" t="str">
        <f t="shared" si="38"/>
        <v>Fixed Inputs</v>
      </c>
      <c r="BC243" s="44" t="str">
        <f t="shared" si="39"/>
        <v>Variant allowances</v>
      </c>
      <c r="BD243" s="44" t="str">
        <f t="shared" si="40"/>
        <v>Totex variant allowances allocation percentages</v>
      </c>
    </row>
    <row r="244" spans="5:56">
      <c r="E244" s="212" t="str" cm="1">
        <f t="array" ref="E244">INDEX($E$128:$E$170,INT((ROW()-ROW($E$173))/6)+1)</f>
        <v>Digitalisation Re-opener</v>
      </c>
      <c r="G244" s="43" t="s">
        <v>33</v>
      </c>
      <c r="H244" s="43" t="s">
        <v>274</v>
      </c>
      <c r="AU244" s="255">
        <v>0</v>
      </c>
      <c r="AV244" s="250">
        <v>0</v>
      </c>
      <c r="AW244" s="250">
        <v>0</v>
      </c>
      <c r="AX244" s="250">
        <v>0</v>
      </c>
      <c r="AY244" s="251">
        <v>0</v>
      </c>
      <c r="BA244" s="44" t="str">
        <f t="shared" ca="1" si="37"/>
        <v>NGT_TO</v>
      </c>
      <c r="BB244" s="44" t="str">
        <f t="shared" si="38"/>
        <v>Fixed Inputs</v>
      </c>
      <c r="BC244" s="44" t="str">
        <f t="shared" si="39"/>
        <v>Variant allowances</v>
      </c>
      <c r="BD244" s="44" t="str">
        <f t="shared" si="40"/>
        <v>Totex variant allowances allocation percentages</v>
      </c>
    </row>
    <row r="245" spans="5:56">
      <c r="E245" s="195" t="str" cm="1">
        <f t="array" ref="E245">INDEX($E$128:$E$170,INT((ROW()-ROW($E$173))/6)+1)</f>
        <v>Coordinated Adjustment Mechanism Re-opener</v>
      </c>
      <c r="F245" s="196"/>
      <c r="G245" s="196" t="s">
        <v>33</v>
      </c>
      <c r="H245" s="196" t="s">
        <v>331</v>
      </c>
      <c r="I245" s="196"/>
      <c r="J245" s="196"/>
      <c r="K245" s="196"/>
      <c r="L245" s="196"/>
      <c r="M245" s="196"/>
      <c r="N245" s="196"/>
      <c r="O245" s="196"/>
      <c r="P245" s="196"/>
      <c r="Q245" s="196"/>
      <c r="R245" s="196"/>
      <c r="S245" s="196"/>
      <c r="T245" s="196"/>
      <c r="U245" s="196"/>
      <c r="V245" s="196"/>
      <c r="W245" s="196"/>
      <c r="X245" s="196"/>
      <c r="Y245" s="196"/>
      <c r="Z245" s="196"/>
      <c r="AA245" s="196"/>
      <c r="AB245" s="196"/>
      <c r="AC245" s="196"/>
      <c r="AD245" s="196"/>
      <c r="AE245" s="196"/>
      <c r="AF245" s="196"/>
      <c r="AG245" s="196"/>
      <c r="AH245" s="196"/>
      <c r="AI245" s="196"/>
      <c r="AJ245" s="196"/>
      <c r="AK245" s="196"/>
      <c r="AL245" s="196"/>
      <c r="AM245" s="196"/>
      <c r="AN245" s="196"/>
      <c r="AO245" s="196"/>
      <c r="AP245" s="196"/>
      <c r="AQ245" s="196"/>
      <c r="AR245" s="196"/>
      <c r="AS245" s="196"/>
      <c r="AT245" s="197"/>
      <c r="AU245" s="198">
        <v>0</v>
      </c>
      <c r="AV245" s="199">
        <v>0</v>
      </c>
      <c r="AW245" s="199">
        <v>0</v>
      </c>
      <c r="AX245" s="199">
        <v>0</v>
      </c>
      <c r="AY245" s="200">
        <v>0</v>
      </c>
      <c r="BA245" s="44" t="str">
        <f t="shared" ca="1" si="37"/>
        <v>NGT_TO</v>
      </c>
      <c r="BB245" s="44" t="str">
        <f t="shared" si="38"/>
        <v>Fixed Inputs</v>
      </c>
      <c r="BC245" s="44" t="str">
        <f t="shared" si="39"/>
        <v>Variant allowances</v>
      </c>
      <c r="BD245" s="44" t="str">
        <f t="shared" si="40"/>
        <v>Totex variant allowances allocation percentages</v>
      </c>
    </row>
    <row r="246" spans="5:56">
      <c r="E246" s="212" t="str" cm="1">
        <f t="array" ref="E246">INDEX($E$128:$E$170,INT((ROW()-ROW($E$173))/6)+1)</f>
        <v>Coordinated Adjustment Mechanism Re-opener</v>
      </c>
      <c r="G246" s="43" t="s">
        <v>33</v>
      </c>
      <c r="H246" s="43" t="s">
        <v>332</v>
      </c>
      <c r="AU246" s="164">
        <v>0</v>
      </c>
      <c r="AV246" s="29">
        <v>0</v>
      </c>
      <c r="AW246" s="29">
        <v>0</v>
      </c>
      <c r="AX246" s="29">
        <v>0</v>
      </c>
      <c r="AY246" s="184">
        <v>0</v>
      </c>
      <c r="BA246" s="44" t="str">
        <f t="shared" ca="1" si="37"/>
        <v>NGT_TO</v>
      </c>
      <c r="BB246" s="44" t="str">
        <f t="shared" si="38"/>
        <v>Fixed Inputs</v>
      </c>
      <c r="BC246" s="44" t="str">
        <f t="shared" si="39"/>
        <v>Variant allowances</v>
      </c>
      <c r="BD246" s="44" t="str">
        <f t="shared" si="40"/>
        <v>Totex variant allowances allocation percentages</v>
      </c>
    </row>
    <row r="247" spans="5:56">
      <c r="E247" s="212" t="str" cm="1">
        <f t="array" ref="E247">INDEX($E$128:$E$170,INT((ROW()-ROW($E$173))/6)+1)</f>
        <v>Coordinated Adjustment Mechanism Re-opener</v>
      </c>
      <c r="G247" s="43" t="s">
        <v>33</v>
      </c>
      <c r="H247" s="43" t="s">
        <v>333</v>
      </c>
      <c r="AU247" s="164">
        <v>0</v>
      </c>
      <c r="AV247" s="29">
        <v>0</v>
      </c>
      <c r="AW247" s="29">
        <v>0</v>
      </c>
      <c r="AX247" s="29">
        <v>0</v>
      </c>
      <c r="AY247" s="184">
        <v>0</v>
      </c>
      <c r="BA247" s="44" t="str">
        <f t="shared" ca="1" si="37"/>
        <v>NGT_TO</v>
      </c>
      <c r="BB247" s="44" t="str">
        <f t="shared" si="38"/>
        <v>Fixed Inputs</v>
      </c>
      <c r="BC247" s="44" t="str">
        <f t="shared" si="39"/>
        <v>Variant allowances</v>
      </c>
      <c r="BD247" s="44" t="str">
        <f t="shared" si="40"/>
        <v>Totex variant allowances allocation percentages</v>
      </c>
    </row>
    <row r="248" spans="5:56">
      <c r="E248" s="212" t="str" cm="1">
        <f t="array" ref="E248">INDEX($E$128:$E$170,INT((ROW()-ROW($E$173))/6)+1)</f>
        <v>Coordinated Adjustment Mechanism Re-opener</v>
      </c>
      <c r="G248" s="43" t="s">
        <v>33</v>
      </c>
      <c r="H248" s="43" t="s">
        <v>275</v>
      </c>
      <c r="AU248" s="164">
        <v>0</v>
      </c>
      <c r="AV248" s="29">
        <v>0</v>
      </c>
      <c r="AW248" s="29">
        <v>0</v>
      </c>
      <c r="AX248" s="29">
        <v>0</v>
      </c>
      <c r="AY248" s="184">
        <v>0</v>
      </c>
      <c r="BA248" s="44" t="str">
        <f t="shared" ca="1" si="37"/>
        <v>NGT_TO</v>
      </c>
      <c r="BB248" s="44" t="str">
        <f t="shared" si="38"/>
        <v>Fixed Inputs</v>
      </c>
      <c r="BC248" s="44" t="str">
        <f t="shared" si="39"/>
        <v>Variant allowances</v>
      </c>
      <c r="BD248" s="44" t="str">
        <f t="shared" si="40"/>
        <v>Totex variant allowances allocation percentages</v>
      </c>
    </row>
    <row r="249" spans="5:56">
      <c r="E249" s="212" t="str" cm="1">
        <f t="array" ref="E249">INDEX($E$128:$E$170,INT((ROW()-ROW($E$173))/6)+1)</f>
        <v>Coordinated Adjustment Mechanism Re-opener</v>
      </c>
      <c r="G249" s="43" t="s">
        <v>33</v>
      </c>
      <c r="H249" s="43" t="s">
        <v>273</v>
      </c>
      <c r="AU249" s="164">
        <v>0</v>
      </c>
      <c r="AV249" s="29">
        <v>0</v>
      </c>
      <c r="AW249" s="29">
        <v>0</v>
      </c>
      <c r="AX249" s="29">
        <v>0</v>
      </c>
      <c r="AY249" s="184">
        <v>0</v>
      </c>
      <c r="BA249" s="44" t="str">
        <f t="shared" ca="1" si="37"/>
        <v>NGT_TO</v>
      </c>
      <c r="BB249" s="44" t="str">
        <f t="shared" si="38"/>
        <v>Fixed Inputs</v>
      </c>
      <c r="BC249" s="44" t="str">
        <f t="shared" si="39"/>
        <v>Variant allowances</v>
      </c>
      <c r="BD249" s="44" t="str">
        <f t="shared" si="40"/>
        <v>Totex variant allowances allocation percentages</v>
      </c>
    </row>
    <row r="250" spans="5:56">
      <c r="E250" s="201" t="str" cm="1">
        <f t="array" ref="E250">INDEX($E$128:$E$170,INT((ROW()-ROW($E$173))/6)+1)</f>
        <v>Coordinated Adjustment Mechanism Re-opener</v>
      </c>
      <c r="F250" s="202"/>
      <c r="G250" s="202" t="s">
        <v>33</v>
      </c>
      <c r="H250" s="202" t="s">
        <v>274</v>
      </c>
      <c r="I250" s="202"/>
      <c r="J250" s="202"/>
      <c r="K250" s="202"/>
      <c r="L250" s="202"/>
      <c r="M250" s="202"/>
      <c r="N250" s="202"/>
      <c r="O250" s="202"/>
      <c r="P250" s="202"/>
      <c r="Q250" s="202"/>
      <c r="R250" s="202"/>
      <c r="S250" s="202"/>
      <c r="T250" s="202"/>
      <c r="U250" s="202"/>
      <c r="V250" s="202"/>
      <c r="W250" s="202"/>
      <c r="X250" s="202"/>
      <c r="Y250" s="202"/>
      <c r="Z250" s="202"/>
      <c r="AA250" s="202"/>
      <c r="AB250" s="202"/>
      <c r="AC250" s="202"/>
      <c r="AD250" s="202"/>
      <c r="AE250" s="202"/>
      <c r="AF250" s="202"/>
      <c r="AG250" s="202"/>
      <c r="AH250" s="202"/>
      <c r="AI250" s="202"/>
      <c r="AJ250" s="202"/>
      <c r="AK250" s="202"/>
      <c r="AL250" s="202"/>
      <c r="AM250" s="202"/>
      <c r="AN250" s="202"/>
      <c r="AO250" s="202"/>
      <c r="AP250" s="202"/>
      <c r="AQ250" s="202"/>
      <c r="AR250" s="202"/>
      <c r="AS250" s="202"/>
      <c r="AT250" s="203"/>
      <c r="AU250" s="204">
        <v>0</v>
      </c>
      <c r="AV250" s="205">
        <v>0</v>
      </c>
      <c r="AW250" s="205">
        <v>0</v>
      </c>
      <c r="AX250" s="205">
        <v>0</v>
      </c>
      <c r="AY250" s="206">
        <v>0</v>
      </c>
      <c r="BA250" s="44" t="str">
        <f t="shared" ca="1" si="37"/>
        <v>NGT_TO</v>
      </c>
      <c r="BB250" s="44" t="str">
        <f t="shared" si="38"/>
        <v>Fixed Inputs</v>
      </c>
      <c r="BC250" s="44" t="str">
        <f t="shared" si="39"/>
        <v>Variant allowances</v>
      </c>
      <c r="BD250" s="44" t="str">
        <f t="shared" si="40"/>
        <v>Totex variant allowances allocation percentages</v>
      </c>
    </row>
    <row r="251" spans="5:56">
      <c r="E251" s="212" t="str" cm="1">
        <f t="array" ref="E251">INDEX($E$128:$E$170,INT((ROW()-ROW($E$173))/6)+1)</f>
        <v>Bacton terminal site redevelopment Price Control Deliverable</v>
      </c>
      <c r="G251" s="43" t="s">
        <v>33</v>
      </c>
      <c r="H251" s="43" t="s">
        <v>331</v>
      </c>
      <c r="AU251" s="207">
        <v>0</v>
      </c>
      <c r="AV251" s="208">
        <v>0</v>
      </c>
      <c r="AW251" s="208">
        <v>0</v>
      </c>
      <c r="AX251" s="208">
        <v>0</v>
      </c>
      <c r="AY251" s="220">
        <v>0</v>
      </c>
      <c r="BA251" s="44" t="str">
        <f t="shared" ca="1" si="37"/>
        <v>NGT_TO</v>
      </c>
      <c r="BB251" s="44" t="str">
        <f t="shared" si="38"/>
        <v>Fixed Inputs</v>
      </c>
      <c r="BC251" s="44" t="str">
        <f t="shared" si="39"/>
        <v>Variant allowances</v>
      </c>
      <c r="BD251" s="44" t="str">
        <f t="shared" si="40"/>
        <v>Totex variant allowances allocation percentages</v>
      </c>
    </row>
    <row r="252" spans="5:56">
      <c r="E252" s="212" t="str" cm="1">
        <f t="array" ref="E252">INDEX($E$128:$E$170,INT((ROW()-ROW($E$173))/6)+1)</f>
        <v>Bacton terminal site redevelopment Price Control Deliverable</v>
      </c>
      <c r="G252" s="43" t="s">
        <v>33</v>
      </c>
      <c r="H252" s="43" t="s">
        <v>332</v>
      </c>
      <c r="AU252" s="165">
        <v>1</v>
      </c>
      <c r="AV252" s="32">
        <v>1</v>
      </c>
      <c r="AW252" s="32">
        <v>1</v>
      </c>
      <c r="AX252" s="32">
        <v>1</v>
      </c>
      <c r="AY252" s="213">
        <v>1</v>
      </c>
      <c r="BA252" s="44" t="str">
        <f t="shared" ca="1" si="37"/>
        <v>NGT_TO</v>
      </c>
      <c r="BB252" s="44" t="str">
        <f t="shared" si="38"/>
        <v>Fixed Inputs</v>
      </c>
      <c r="BC252" s="44" t="str">
        <f t="shared" si="39"/>
        <v>Variant allowances</v>
      </c>
      <c r="BD252" s="44" t="str">
        <f t="shared" si="40"/>
        <v>Totex variant allowances allocation percentages</v>
      </c>
    </row>
    <row r="253" spans="5:56">
      <c r="E253" s="212" t="str" cm="1">
        <f t="array" ref="E253">INDEX($E$128:$E$170,INT((ROW()-ROW($E$173))/6)+1)</f>
        <v>Bacton terminal site redevelopment Price Control Deliverable</v>
      </c>
      <c r="G253" s="43" t="s">
        <v>33</v>
      </c>
      <c r="H253" s="43" t="s">
        <v>333</v>
      </c>
      <c r="AU253" s="165">
        <v>0</v>
      </c>
      <c r="AV253" s="32">
        <v>0</v>
      </c>
      <c r="AW253" s="32">
        <v>0</v>
      </c>
      <c r="AX253" s="32">
        <v>0</v>
      </c>
      <c r="AY253" s="213">
        <v>0</v>
      </c>
      <c r="BA253" s="44" t="str">
        <f t="shared" ca="1" si="37"/>
        <v>NGT_TO</v>
      </c>
      <c r="BB253" s="44" t="str">
        <f t="shared" si="38"/>
        <v>Fixed Inputs</v>
      </c>
      <c r="BC253" s="44" t="str">
        <f t="shared" si="39"/>
        <v>Variant allowances</v>
      </c>
      <c r="BD253" s="44" t="str">
        <f t="shared" si="40"/>
        <v>Totex variant allowances allocation percentages</v>
      </c>
    </row>
    <row r="254" spans="5:56">
      <c r="E254" s="212" t="str" cm="1">
        <f t="array" ref="E254">INDEX($E$128:$E$170,INT((ROW()-ROW($E$173))/6)+1)</f>
        <v>Bacton terminal site redevelopment Price Control Deliverable</v>
      </c>
      <c r="G254" s="43" t="s">
        <v>33</v>
      </c>
      <c r="H254" s="43" t="s">
        <v>275</v>
      </c>
      <c r="AU254" s="165">
        <v>0</v>
      </c>
      <c r="AV254" s="32">
        <v>0</v>
      </c>
      <c r="AW254" s="32">
        <v>0</v>
      </c>
      <c r="AX254" s="32">
        <v>0</v>
      </c>
      <c r="AY254" s="213">
        <v>0</v>
      </c>
      <c r="BA254" s="44" t="str">
        <f t="shared" ca="1" si="37"/>
        <v>NGT_TO</v>
      </c>
      <c r="BB254" s="44" t="str">
        <f t="shared" si="38"/>
        <v>Fixed Inputs</v>
      </c>
      <c r="BC254" s="44" t="str">
        <f t="shared" si="39"/>
        <v>Variant allowances</v>
      </c>
      <c r="BD254" s="44" t="str">
        <f t="shared" si="40"/>
        <v>Totex variant allowances allocation percentages</v>
      </c>
    </row>
    <row r="255" spans="5:56">
      <c r="E255" s="212" t="str" cm="1">
        <f t="array" ref="E255">INDEX($E$128:$E$170,INT((ROW()-ROW($E$173))/6)+1)</f>
        <v>Bacton terminal site redevelopment Price Control Deliverable</v>
      </c>
      <c r="G255" s="43" t="s">
        <v>33</v>
      </c>
      <c r="H255" s="43" t="s">
        <v>273</v>
      </c>
      <c r="AU255" s="165">
        <v>0</v>
      </c>
      <c r="AV255" s="32">
        <v>0</v>
      </c>
      <c r="AW255" s="32">
        <v>0</v>
      </c>
      <c r="AX255" s="32">
        <v>0</v>
      </c>
      <c r="AY255" s="213">
        <v>0</v>
      </c>
      <c r="BA255" s="44" t="str">
        <f t="shared" ca="1" si="37"/>
        <v>NGT_TO</v>
      </c>
      <c r="BB255" s="44" t="str">
        <f t="shared" si="38"/>
        <v>Fixed Inputs</v>
      </c>
      <c r="BC255" s="44" t="str">
        <f t="shared" si="39"/>
        <v>Variant allowances</v>
      </c>
      <c r="BD255" s="44" t="str">
        <f t="shared" si="40"/>
        <v>Totex variant allowances allocation percentages</v>
      </c>
    </row>
    <row r="256" spans="5:56">
      <c r="E256" s="201" t="str" cm="1">
        <f t="array" ref="E256">INDEX($E$128:$E$170,INT((ROW()-ROW($E$173))/6)+1)</f>
        <v>Bacton terminal site redevelopment Price Control Deliverable</v>
      </c>
      <c r="F256" s="202"/>
      <c r="G256" s="202" t="s">
        <v>33</v>
      </c>
      <c r="H256" s="202" t="s">
        <v>274</v>
      </c>
      <c r="I256" s="202"/>
      <c r="J256" s="202"/>
      <c r="K256" s="202"/>
      <c r="L256" s="202"/>
      <c r="M256" s="202"/>
      <c r="N256" s="202"/>
      <c r="O256" s="202"/>
      <c r="P256" s="202"/>
      <c r="Q256" s="202"/>
      <c r="R256" s="202"/>
      <c r="S256" s="202"/>
      <c r="T256" s="202"/>
      <c r="U256" s="202"/>
      <c r="V256" s="202"/>
      <c r="W256" s="202"/>
      <c r="X256" s="202"/>
      <c r="Y256" s="202"/>
      <c r="Z256" s="202"/>
      <c r="AA256" s="202"/>
      <c r="AB256" s="202"/>
      <c r="AC256" s="202"/>
      <c r="AD256" s="202"/>
      <c r="AE256" s="202"/>
      <c r="AF256" s="202"/>
      <c r="AG256" s="202"/>
      <c r="AH256" s="202"/>
      <c r="AI256" s="202"/>
      <c r="AJ256" s="202"/>
      <c r="AK256" s="202"/>
      <c r="AL256" s="202"/>
      <c r="AM256" s="202"/>
      <c r="AN256" s="202"/>
      <c r="AO256" s="202"/>
      <c r="AP256" s="202"/>
      <c r="AQ256" s="202"/>
      <c r="AR256" s="202"/>
      <c r="AS256" s="202"/>
      <c r="AT256" s="203"/>
      <c r="AU256" s="214">
        <v>0</v>
      </c>
      <c r="AV256" s="215">
        <v>0</v>
      </c>
      <c r="AW256" s="215">
        <v>0</v>
      </c>
      <c r="AX256" s="215">
        <v>0</v>
      </c>
      <c r="AY256" s="216">
        <v>0</v>
      </c>
      <c r="BA256" s="44" t="str">
        <f t="shared" ca="1" si="37"/>
        <v>NGT_TO</v>
      </c>
      <c r="BB256" s="44" t="str">
        <f t="shared" si="38"/>
        <v>Fixed Inputs</v>
      </c>
      <c r="BC256" s="44" t="str">
        <f t="shared" si="39"/>
        <v>Variant allowances</v>
      </c>
      <c r="BD256" s="44" t="str">
        <f t="shared" si="40"/>
        <v>Totex variant allowances allocation percentages</v>
      </c>
    </row>
    <row r="257" spans="5:56">
      <c r="E257" s="195" t="str" cm="1">
        <f t="array" ref="E257">INDEX($E$128:$E$170,INT((ROW()-ROW($E$173))/6)+1)</f>
        <v>Compressor Emissions Price Control Deliverable</v>
      </c>
      <c r="F257" s="196"/>
      <c r="G257" s="196" t="s">
        <v>33</v>
      </c>
      <c r="H257" s="196" t="s">
        <v>331</v>
      </c>
      <c r="I257" s="196"/>
      <c r="J257" s="196"/>
      <c r="K257" s="196"/>
      <c r="L257" s="196"/>
      <c r="M257" s="196"/>
      <c r="N257" s="196"/>
      <c r="O257" s="196"/>
      <c r="P257" s="196"/>
      <c r="Q257" s="196"/>
      <c r="R257" s="196"/>
      <c r="S257" s="196"/>
      <c r="T257" s="196"/>
      <c r="U257" s="196"/>
      <c r="V257" s="196"/>
      <c r="W257" s="196"/>
      <c r="X257" s="196"/>
      <c r="Y257" s="196"/>
      <c r="Z257" s="196"/>
      <c r="AA257" s="196"/>
      <c r="AB257" s="196"/>
      <c r="AC257" s="196"/>
      <c r="AD257" s="196"/>
      <c r="AE257" s="196"/>
      <c r="AF257" s="196"/>
      <c r="AG257" s="196"/>
      <c r="AH257" s="196"/>
      <c r="AI257" s="196"/>
      <c r="AJ257" s="196"/>
      <c r="AK257" s="196"/>
      <c r="AL257" s="196"/>
      <c r="AM257" s="196"/>
      <c r="AN257" s="196"/>
      <c r="AO257" s="196"/>
      <c r="AP257" s="196"/>
      <c r="AQ257" s="196"/>
      <c r="AR257" s="196"/>
      <c r="AS257" s="196"/>
      <c r="AT257" s="197"/>
      <c r="AU257" s="209">
        <v>0</v>
      </c>
      <c r="AV257" s="210">
        <v>0</v>
      </c>
      <c r="AW257" s="210">
        <v>0</v>
      </c>
      <c r="AX257" s="210">
        <v>0</v>
      </c>
      <c r="AY257" s="211">
        <v>0</v>
      </c>
      <c r="BA257" s="44" t="str">
        <f t="shared" ca="1" si="37"/>
        <v>NGT_TO</v>
      </c>
      <c r="BB257" s="44" t="str">
        <f t="shared" si="38"/>
        <v>Fixed Inputs</v>
      </c>
      <c r="BC257" s="44" t="str">
        <f t="shared" si="39"/>
        <v>Variant allowances</v>
      </c>
      <c r="BD257" s="44" t="str">
        <f t="shared" si="40"/>
        <v>Totex variant allowances allocation percentages</v>
      </c>
    </row>
    <row r="258" spans="5:56">
      <c r="E258" s="212" t="str" cm="1">
        <f t="array" ref="E258">INDEX($E$128:$E$170,INT((ROW()-ROW($E$173))/6)+1)</f>
        <v>Compressor Emissions Price Control Deliverable</v>
      </c>
      <c r="G258" s="43" t="s">
        <v>33</v>
      </c>
      <c r="H258" s="43" t="s">
        <v>332</v>
      </c>
      <c r="AU258" s="165">
        <v>0</v>
      </c>
      <c r="AV258" s="32">
        <v>0</v>
      </c>
      <c r="AW258" s="32">
        <v>0</v>
      </c>
      <c r="AX258" s="32">
        <v>0</v>
      </c>
      <c r="AY258" s="213">
        <v>0</v>
      </c>
      <c r="AZ258"/>
      <c r="BA258" s="44" t="str">
        <f t="shared" ca="1" si="37"/>
        <v>NGT_TO</v>
      </c>
      <c r="BB258" s="44" t="str">
        <f t="shared" si="38"/>
        <v>Fixed Inputs</v>
      </c>
      <c r="BC258" s="44" t="str">
        <f t="shared" si="39"/>
        <v>Variant allowances</v>
      </c>
      <c r="BD258" s="44" t="str">
        <f t="shared" si="40"/>
        <v>Totex variant allowances allocation percentages</v>
      </c>
    </row>
    <row r="259" spans="5:56">
      <c r="E259" s="212" t="str" cm="1">
        <f t="array" ref="E259">INDEX($E$128:$E$170,INT((ROW()-ROW($E$173))/6)+1)</f>
        <v>Compressor Emissions Price Control Deliverable</v>
      </c>
      <c r="G259" s="43" t="s">
        <v>33</v>
      </c>
      <c r="H259" s="43" t="s">
        <v>333</v>
      </c>
      <c r="AU259" s="165">
        <v>0</v>
      </c>
      <c r="AV259" s="32">
        <v>0</v>
      </c>
      <c r="AW259" s="32">
        <v>0</v>
      </c>
      <c r="AX259" s="32">
        <v>0</v>
      </c>
      <c r="AY259" s="213">
        <v>0</v>
      </c>
      <c r="BA259" s="44" t="str">
        <f t="shared" ca="1" si="37"/>
        <v>NGT_TO</v>
      </c>
      <c r="BB259" s="44" t="str">
        <f t="shared" si="38"/>
        <v>Fixed Inputs</v>
      </c>
      <c r="BC259" s="44" t="str">
        <f t="shared" si="39"/>
        <v>Variant allowances</v>
      </c>
      <c r="BD259" s="44" t="str">
        <f t="shared" si="40"/>
        <v>Totex variant allowances allocation percentages</v>
      </c>
    </row>
    <row r="260" spans="5:56">
      <c r="E260" s="212" t="str" cm="1">
        <f t="array" ref="E260">INDEX($E$128:$E$170,INT((ROW()-ROW($E$173))/6)+1)</f>
        <v>Compressor Emissions Price Control Deliverable</v>
      </c>
      <c r="G260" s="43" t="s">
        <v>33</v>
      </c>
      <c r="H260" s="43" t="s">
        <v>275</v>
      </c>
      <c r="AU260" s="165">
        <v>0</v>
      </c>
      <c r="AV260" s="32">
        <v>0</v>
      </c>
      <c r="AW260" s="32">
        <v>0</v>
      </c>
      <c r="AX260" s="32">
        <v>0</v>
      </c>
      <c r="AY260" s="213">
        <v>0</v>
      </c>
      <c r="BA260" s="44" t="str">
        <f t="shared" ca="1" si="37"/>
        <v>NGT_TO</v>
      </c>
      <c r="BB260" s="44" t="str">
        <f t="shared" si="38"/>
        <v>Fixed Inputs</v>
      </c>
      <c r="BC260" s="44" t="str">
        <f t="shared" si="39"/>
        <v>Variant allowances</v>
      </c>
      <c r="BD260" s="44" t="str">
        <f t="shared" si="40"/>
        <v>Totex variant allowances allocation percentages</v>
      </c>
    </row>
    <row r="261" spans="5:56">
      <c r="E261" s="212" t="str" cm="1">
        <f t="array" ref="E261">INDEX($E$128:$E$170,INT((ROW()-ROW($E$173))/6)+1)</f>
        <v>Compressor Emissions Price Control Deliverable</v>
      </c>
      <c r="G261" s="43" t="s">
        <v>33</v>
      </c>
      <c r="H261" s="43" t="s">
        <v>273</v>
      </c>
      <c r="AU261" s="165">
        <v>0</v>
      </c>
      <c r="AV261" s="32">
        <v>0</v>
      </c>
      <c r="AW261" s="32">
        <v>0</v>
      </c>
      <c r="AX261" s="32">
        <v>0</v>
      </c>
      <c r="AY261" s="213">
        <v>0</v>
      </c>
      <c r="BA261" s="44" t="str">
        <f t="shared" ca="1" si="37"/>
        <v>NGT_TO</v>
      </c>
      <c r="BB261" s="44" t="str">
        <f t="shared" si="38"/>
        <v>Fixed Inputs</v>
      </c>
      <c r="BC261" s="44" t="str">
        <f t="shared" si="39"/>
        <v>Variant allowances</v>
      </c>
      <c r="BD261" s="44" t="str">
        <f t="shared" si="40"/>
        <v>Totex variant allowances allocation percentages</v>
      </c>
    </row>
    <row r="262" spans="5:56">
      <c r="E262" s="212" t="str" cm="1">
        <f t="array" ref="E262">INDEX($E$128:$E$170,INT((ROW()-ROW($E$173))/6)+1)</f>
        <v>Compressor Emissions Price Control Deliverable</v>
      </c>
      <c r="G262" s="43" t="s">
        <v>33</v>
      </c>
      <c r="H262" s="43" t="s">
        <v>274</v>
      </c>
      <c r="AU262" s="217">
        <v>0</v>
      </c>
      <c r="AV262" s="218">
        <v>0</v>
      </c>
      <c r="AW262" s="218">
        <v>0</v>
      </c>
      <c r="AX262" s="218">
        <v>0</v>
      </c>
      <c r="AY262" s="219">
        <v>0</v>
      </c>
      <c r="BA262" s="44" t="str">
        <f t="shared" ca="1" si="37"/>
        <v>NGT_TO</v>
      </c>
      <c r="BB262" s="44" t="str">
        <f t="shared" si="38"/>
        <v>Fixed Inputs</v>
      </c>
      <c r="BC262" s="44" t="str">
        <f t="shared" si="39"/>
        <v>Variant allowances</v>
      </c>
      <c r="BD262" s="44" t="str">
        <f t="shared" si="40"/>
        <v>Totex variant allowances allocation percentages</v>
      </c>
    </row>
    <row r="263" spans="5:56">
      <c r="E263" s="195" t="str" cm="1">
        <f t="array" ref="E263">INDEX($E$128:$E$170,INT((ROW()-ROW($E$173))/6)+1)</f>
        <v>Funded Incremental Obligated Capacity Price Control Deliverable</v>
      </c>
      <c r="F263" s="196"/>
      <c r="G263" s="196" t="s">
        <v>33</v>
      </c>
      <c r="H263" s="196" t="s">
        <v>331</v>
      </c>
      <c r="I263" s="196"/>
      <c r="J263" s="196"/>
      <c r="K263" s="196"/>
      <c r="L263" s="196"/>
      <c r="M263" s="196"/>
      <c r="N263" s="196"/>
      <c r="O263" s="196"/>
      <c r="P263" s="196"/>
      <c r="Q263" s="196"/>
      <c r="R263" s="196"/>
      <c r="S263" s="196"/>
      <c r="T263" s="196"/>
      <c r="U263" s="196"/>
      <c r="V263" s="196"/>
      <c r="W263" s="196"/>
      <c r="X263" s="196"/>
      <c r="Y263" s="196"/>
      <c r="Z263" s="196"/>
      <c r="AA263" s="196"/>
      <c r="AB263" s="196"/>
      <c r="AC263" s="196"/>
      <c r="AD263" s="196"/>
      <c r="AE263" s="196"/>
      <c r="AF263" s="196"/>
      <c r="AG263" s="196"/>
      <c r="AH263" s="196"/>
      <c r="AI263" s="196"/>
      <c r="AJ263" s="196"/>
      <c r="AK263" s="196"/>
      <c r="AL263" s="196"/>
      <c r="AM263" s="196"/>
      <c r="AN263" s="196"/>
      <c r="AO263" s="196"/>
      <c r="AP263" s="196"/>
      <c r="AQ263" s="196"/>
      <c r="AR263" s="196"/>
      <c r="AS263" s="196"/>
      <c r="AT263" s="197"/>
      <c r="AU263" s="209">
        <v>0</v>
      </c>
      <c r="AV263" s="210">
        <v>0</v>
      </c>
      <c r="AW263" s="210">
        <v>0</v>
      </c>
      <c r="AX263" s="210">
        <v>0</v>
      </c>
      <c r="AY263" s="211">
        <v>0</v>
      </c>
      <c r="BA263" s="44" t="str">
        <f t="shared" ca="1" si="37"/>
        <v>NGT_TO</v>
      </c>
      <c r="BB263" s="44" t="str">
        <f t="shared" si="38"/>
        <v>Fixed Inputs</v>
      </c>
      <c r="BC263" s="44" t="str">
        <f t="shared" si="39"/>
        <v>Variant allowances</v>
      </c>
      <c r="BD263" s="44" t="str">
        <f t="shared" si="40"/>
        <v>Totex variant allowances allocation percentages</v>
      </c>
    </row>
    <row r="264" spans="5:56">
      <c r="E264" s="212" t="str" cm="1">
        <f t="array" ref="E264">INDEX($E$128:$E$170,INT((ROW()-ROW($E$173))/6)+1)</f>
        <v>Funded Incremental Obligated Capacity Price Control Deliverable</v>
      </c>
      <c r="G264" s="43" t="s">
        <v>33</v>
      </c>
      <c r="H264" s="43" t="s">
        <v>332</v>
      </c>
      <c r="AU264" s="165">
        <v>0</v>
      </c>
      <c r="AV264" s="32">
        <v>0</v>
      </c>
      <c r="AW264" s="32">
        <v>0</v>
      </c>
      <c r="AX264" s="32">
        <v>0</v>
      </c>
      <c r="AY264" s="213">
        <v>0</v>
      </c>
      <c r="BA264" s="44" t="str">
        <f t="shared" ca="1" si="37"/>
        <v>NGT_TO</v>
      </c>
      <c r="BB264" s="44" t="str">
        <f t="shared" si="38"/>
        <v>Fixed Inputs</v>
      </c>
      <c r="BC264" s="44" t="str">
        <f t="shared" si="39"/>
        <v>Variant allowances</v>
      </c>
      <c r="BD264" s="44" t="str">
        <f t="shared" si="40"/>
        <v>Totex variant allowances allocation percentages</v>
      </c>
    </row>
    <row r="265" spans="5:56">
      <c r="E265" s="212" t="str" cm="1">
        <f t="array" ref="E265">INDEX($E$128:$E$170,INT((ROW()-ROW($E$173))/6)+1)</f>
        <v>Funded Incremental Obligated Capacity Price Control Deliverable</v>
      </c>
      <c r="G265" s="43" t="s">
        <v>33</v>
      </c>
      <c r="H265" s="43" t="s">
        <v>333</v>
      </c>
      <c r="AU265" s="165">
        <v>0</v>
      </c>
      <c r="AV265" s="32">
        <v>0</v>
      </c>
      <c r="AW265" s="32">
        <v>0</v>
      </c>
      <c r="AX265" s="32">
        <v>0</v>
      </c>
      <c r="AY265" s="213">
        <v>0</v>
      </c>
      <c r="BA265" s="44" t="str">
        <f t="shared" ca="1" si="37"/>
        <v>NGT_TO</v>
      </c>
      <c r="BB265" s="44" t="str">
        <f t="shared" si="38"/>
        <v>Fixed Inputs</v>
      </c>
      <c r="BC265" s="44" t="str">
        <f t="shared" si="39"/>
        <v>Variant allowances</v>
      </c>
      <c r="BD265" s="44" t="str">
        <f t="shared" si="40"/>
        <v>Totex variant allowances allocation percentages</v>
      </c>
    </row>
    <row r="266" spans="5:56">
      <c r="E266" s="212" t="str" cm="1">
        <f t="array" ref="E266">INDEX($E$128:$E$170,INT((ROW()-ROW($E$173))/6)+1)</f>
        <v>Funded Incremental Obligated Capacity Price Control Deliverable</v>
      </c>
      <c r="G266" s="43" t="s">
        <v>33</v>
      </c>
      <c r="H266" s="43" t="s">
        <v>275</v>
      </c>
      <c r="AU266" s="165">
        <v>0</v>
      </c>
      <c r="AV266" s="32">
        <v>0</v>
      </c>
      <c r="AW266" s="32">
        <v>0</v>
      </c>
      <c r="AX266" s="32">
        <v>0</v>
      </c>
      <c r="AY266" s="213">
        <v>0</v>
      </c>
      <c r="BA266" s="44" t="str">
        <f t="shared" ca="1" si="37"/>
        <v>NGT_TO</v>
      </c>
      <c r="BB266" s="44" t="str">
        <f t="shared" si="38"/>
        <v>Fixed Inputs</v>
      </c>
      <c r="BC266" s="44" t="str">
        <f t="shared" si="39"/>
        <v>Variant allowances</v>
      </c>
      <c r="BD266" s="44" t="str">
        <f t="shared" si="40"/>
        <v>Totex variant allowances allocation percentages</v>
      </c>
    </row>
    <row r="267" spans="5:56">
      <c r="E267" s="212" t="str" cm="1">
        <f t="array" ref="E267">INDEX($E$128:$E$170,INT((ROW()-ROW($E$173))/6)+1)</f>
        <v>Funded Incremental Obligated Capacity Price Control Deliverable</v>
      </c>
      <c r="G267" s="43" t="s">
        <v>33</v>
      </c>
      <c r="H267" s="43" t="s">
        <v>273</v>
      </c>
      <c r="AU267" s="165">
        <v>0</v>
      </c>
      <c r="AV267" s="32">
        <v>0</v>
      </c>
      <c r="AW267" s="32">
        <v>0</v>
      </c>
      <c r="AX267" s="32">
        <v>0</v>
      </c>
      <c r="AY267" s="213">
        <v>0</v>
      </c>
      <c r="BA267" s="44" t="str">
        <f t="shared" ca="1" si="37"/>
        <v>NGT_TO</v>
      </c>
      <c r="BB267" s="44" t="str">
        <f t="shared" si="38"/>
        <v>Fixed Inputs</v>
      </c>
      <c r="BC267" s="44" t="str">
        <f t="shared" si="39"/>
        <v>Variant allowances</v>
      </c>
      <c r="BD267" s="44" t="str">
        <f t="shared" si="40"/>
        <v>Totex variant allowances allocation percentages</v>
      </c>
    </row>
    <row r="268" spans="5:56">
      <c r="E268" s="201" t="str" cm="1">
        <f t="array" ref="E268">INDEX($E$128:$E$170,INT((ROW()-ROW($E$173))/6)+1)</f>
        <v>Funded Incremental Obligated Capacity Price Control Deliverable</v>
      </c>
      <c r="F268" s="202"/>
      <c r="G268" s="202" t="s">
        <v>33</v>
      </c>
      <c r="H268" s="202" t="s">
        <v>274</v>
      </c>
      <c r="I268" s="202"/>
      <c r="J268" s="202"/>
      <c r="K268" s="202"/>
      <c r="L268" s="202"/>
      <c r="M268" s="202"/>
      <c r="N268" s="202"/>
      <c r="O268" s="202"/>
      <c r="P268" s="202"/>
      <c r="Q268" s="202"/>
      <c r="R268" s="202"/>
      <c r="S268" s="202"/>
      <c r="T268" s="202"/>
      <c r="U268" s="202"/>
      <c r="V268" s="202"/>
      <c r="W268" s="202"/>
      <c r="X268" s="202"/>
      <c r="Y268" s="202"/>
      <c r="Z268" s="202"/>
      <c r="AA268" s="202"/>
      <c r="AB268" s="202"/>
      <c r="AC268" s="202"/>
      <c r="AD268" s="202"/>
      <c r="AE268" s="202"/>
      <c r="AF268" s="202"/>
      <c r="AG268" s="202"/>
      <c r="AH268" s="202"/>
      <c r="AI268" s="202"/>
      <c r="AJ268" s="202"/>
      <c r="AK268" s="202"/>
      <c r="AL268" s="202"/>
      <c r="AM268" s="202"/>
      <c r="AN268" s="202"/>
      <c r="AO268" s="202"/>
      <c r="AP268" s="202"/>
      <c r="AQ268" s="202"/>
      <c r="AR268" s="202"/>
      <c r="AS268" s="202"/>
      <c r="AT268" s="203"/>
      <c r="AU268" s="214">
        <v>0</v>
      </c>
      <c r="AV268" s="215">
        <v>0</v>
      </c>
      <c r="AW268" s="215">
        <v>0</v>
      </c>
      <c r="AX268" s="215">
        <v>0</v>
      </c>
      <c r="AY268" s="216">
        <v>0</v>
      </c>
      <c r="BA268" s="44" t="str">
        <f t="shared" ca="1" si="37"/>
        <v>NGT_TO</v>
      </c>
      <c r="BB268" s="44" t="str">
        <f t="shared" si="38"/>
        <v>Fixed Inputs</v>
      </c>
      <c r="BC268" s="44" t="str">
        <f t="shared" si="39"/>
        <v>Variant allowances</v>
      </c>
      <c r="BD268" s="44" t="str">
        <f t="shared" si="40"/>
        <v>Totex variant allowances allocation percentages</v>
      </c>
    </row>
    <row r="269" spans="5:56">
      <c r="E269" s="212" t="str" cm="1">
        <f t="array" ref="E269">INDEX($E$128:$E$170,INT((ROW()-ROW($E$173))/6)+1)</f>
        <v>Funded Incremental Obligated Capacity Price Control Deliverable - Re-Opener Element</v>
      </c>
      <c r="G269" s="43" t="s">
        <v>33</v>
      </c>
      <c r="H269" s="43" t="s">
        <v>331</v>
      </c>
      <c r="AU269" s="254">
        <v>0</v>
      </c>
      <c r="AV269" s="252">
        <v>0</v>
      </c>
      <c r="AW269" s="252">
        <v>0</v>
      </c>
      <c r="AX269" s="252">
        <v>0</v>
      </c>
      <c r="AY269" s="253">
        <v>0</v>
      </c>
      <c r="BA269" s="44" t="str">
        <f t="shared" ca="1" si="37"/>
        <v>NGT_TO</v>
      </c>
      <c r="BB269" s="44" t="str">
        <f t="shared" ref="BB269:BB300" si="41">$A$125</f>
        <v>Fixed Inputs</v>
      </c>
      <c r="BC269" s="44" t="str">
        <f t="shared" si="39"/>
        <v>Variant allowances</v>
      </c>
      <c r="BD269" s="44" t="str">
        <f t="shared" ref="BD269:BD300" si="42">$C$172</f>
        <v>Totex variant allowances allocation percentages</v>
      </c>
    </row>
    <row r="270" spans="5:56">
      <c r="E270" s="212" t="str" cm="1">
        <f t="array" ref="E270">INDEX($E$128:$E$170,INT((ROW()-ROW($E$173))/6)+1)</f>
        <v>Funded Incremental Obligated Capacity Price Control Deliverable - Re-Opener Element</v>
      </c>
      <c r="G270" s="43" t="s">
        <v>33</v>
      </c>
      <c r="H270" s="43" t="s">
        <v>332</v>
      </c>
      <c r="AU270" s="164">
        <v>0</v>
      </c>
      <c r="AV270" s="29">
        <v>0</v>
      </c>
      <c r="AW270" s="29">
        <v>0</v>
      </c>
      <c r="AX270" s="29">
        <v>0</v>
      </c>
      <c r="AY270" s="184">
        <v>0</v>
      </c>
      <c r="BA270" s="44" t="str">
        <f t="shared" ca="1" si="37"/>
        <v>NGT_TO</v>
      </c>
      <c r="BB270" s="44" t="str">
        <f t="shared" si="41"/>
        <v>Fixed Inputs</v>
      </c>
      <c r="BC270" s="44" t="str">
        <f t="shared" si="39"/>
        <v>Variant allowances</v>
      </c>
      <c r="BD270" s="44" t="str">
        <f t="shared" si="42"/>
        <v>Totex variant allowances allocation percentages</v>
      </c>
    </row>
    <row r="271" spans="5:56">
      <c r="E271" s="212" t="str" cm="1">
        <f t="array" ref="E271">INDEX($E$128:$E$170,INT((ROW()-ROW($E$173))/6)+1)</f>
        <v>Funded Incremental Obligated Capacity Price Control Deliverable - Re-Opener Element</v>
      </c>
      <c r="G271" s="43" t="s">
        <v>33</v>
      </c>
      <c r="H271" s="43" t="s">
        <v>333</v>
      </c>
      <c r="AU271" s="164">
        <v>0</v>
      </c>
      <c r="AV271" s="29">
        <v>0</v>
      </c>
      <c r="AW271" s="29">
        <v>0</v>
      </c>
      <c r="AX271" s="29">
        <v>0</v>
      </c>
      <c r="AY271" s="184">
        <v>0</v>
      </c>
      <c r="BA271" s="44" t="str">
        <f t="shared" ca="1" si="37"/>
        <v>NGT_TO</v>
      </c>
      <c r="BB271" s="44" t="str">
        <f t="shared" si="41"/>
        <v>Fixed Inputs</v>
      </c>
      <c r="BC271" s="44" t="str">
        <f t="shared" si="39"/>
        <v>Variant allowances</v>
      </c>
      <c r="BD271" s="44" t="str">
        <f t="shared" si="42"/>
        <v>Totex variant allowances allocation percentages</v>
      </c>
    </row>
    <row r="272" spans="5:56">
      <c r="E272" s="212" t="str" cm="1">
        <f t="array" ref="E272">INDEX($E$128:$E$170,INT((ROW()-ROW($E$173))/6)+1)</f>
        <v>Funded Incremental Obligated Capacity Price Control Deliverable - Re-Opener Element</v>
      </c>
      <c r="G272" s="43" t="s">
        <v>33</v>
      </c>
      <c r="H272" s="43" t="s">
        <v>275</v>
      </c>
      <c r="AU272" s="164">
        <v>0</v>
      </c>
      <c r="AV272" s="29">
        <v>0</v>
      </c>
      <c r="AW272" s="29">
        <v>0</v>
      </c>
      <c r="AX272" s="29">
        <v>0</v>
      </c>
      <c r="AY272" s="184">
        <v>0</v>
      </c>
      <c r="BA272" s="44" t="str">
        <f t="shared" ca="1" si="37"/>
        <v>NGT_TO</v>
      </c>
      <c r="BB272" s="44" t="str">
        <f t="shared" si="41"/>
        <v>Fixed Inputs</v>
      </c>
      <c r="BC272" s="44" t="str">
        <f t="shared" si="39"/>
        <v>Variant allowances</v>
      </c>
      <c r="BD272" s="44" t="str">
        <f t="shared" si="42"/>
        <v>Totex variant allowances allocation percentages</v>
      </c>
    </row>
    <row r="273" spans="5:56">
      <c r="E273" s="212" t="str" cm="1">
        <f t="array" ref="E273">INDEX($E$128:$E$170,INT((ROW()-ROW($E$173))/6)+1)</f>
        <v>Funded Incremental Obligated Capacity Price Control Deliverable - Re-Opener Element</v>
      </c>
      <c r="G273" s="43" t="s">
        <v>33</v>
      </c>
      <c r="H273" s="43" t="s">
        <v>273</v>
      </c>
      <c r="AU273" s="164">
        <v>0</v>
      </c>
      <c r="AV273" s="29">
        <v>0</v>
      </c>
      <c r="AW273" s="29">
        <v>0</v>
      </c>
      <c r="AX273" s="29">
        <v>0</v>
      </c>
      <c r="AY273" s="184">
        <v>0</v>
      </c>
      <c r="BA273" s="44" t="str">
        <f t="shared" ca="1" si="37"/>
        <v>NGT_TO</v>
      </c>
      <c r="BB273" s="44" t="str">
        <f t="shared" si="41"/>
        <v>Fixed Inputs</v>
      </c>
      <c r="BC273" s="44" t="str">
        <f t="shared" si="39"/>
        <v>Variant allowances</v>
      </c>
      <c r="BD273" s="44" t="str">
        <f t="shared" si="42"/>
        <v>Totex variant allowances allocation percentages</v>
      </c>
    </row>
    <row r="274" spans="5:56">
      <c r="E274" s="212" t="str" cm="1">
        <f t="array" ref="E274">INDEX($E$128:$E$170,INT((ROW()-ROW($E$173))/6)+1)</f>
        <v>Funded Incremental Obligated Capacity Price Control Deliverable - Re-Opener Element</v>
      </c>
      <c r="G274" s="43" t="s">
        <v>33</v>
      </c>
      <c r="H274" s="43" t="s">
        <v>274</v>
      </c>
      <c r="AU274" s="255">
        <v>0</v>
      </c>
      <c r="AV274" s="250">
        <v>0</v>
      </c>
      <c r="AW274" s="250">
        <v>0</v>
      </c>
      <c r="AX274" s="250">
        <v>0</v>
      </c>
      <c r="AY274" s="251">
        <v>0</v>
      </c>
      <c r="BA274" s="44" t="str">
        <f t="shared" ref="BA274:BA337" ca="1" si="43">$A$1</f>
        <v>NGT_TO</v>
      </c>
      <c r="BB274" s="44" t="str">
        <f t="shared" si="41"/>
        <v>Fixed Inputs</v>
      </c>
      <c r="BC274" s="44" t="str">
        <f t="shared" si="39"/>
        <v>Variant allowances</v>
      </c>
      <c r="BD274" s="44" t="str">
        <f t="shared" si="42"/>
        <v>Totex variant allowances allocation percentages</v>
      </c>
    </row>
    <row r="275" spans="5:56">
      <c r="E275" s="195" t="str" cm="1">
        <f t="array" ref="E275">INDEX($E$128:$E$170,INT((ROW()-ROW($E$173))/6)+1)</f>
        <v>Asset health Re-Opener</v>
      </c>
      <c r="F275" s="196"/>
      <c r="G275" s="196" t="s">
        <v>33</v>
      </c>
      <c r="H275" s="196" t="s">
        <v>331</v>
      </c>
      <c r="I275" s="196"/>
      <c r="J275" s="196"/>
      <c r="K275" s="196"/>
      <c r="L275" s="196"/>
      <c r="M275" s="196"/>
      <c r="N275" s="196"/>
      <c r="O275" s="196"/>
      <c r="P275" s="196"/>
      <c r="Q275" s="196"/>
      <c r="R275" s="196"/>
      <c r="S275" s="196"/>
      <c r="T275" s="196"/>
      <c r="U275" s="196"/>
      <c r="V275" s="196"/>
      <c r="W275" s="196"/>
      <c r="X275" s="196"/>
      <c r="Y275" s="196"/>
      <c r="Z275" s="196"/>
      <c r="AA275" s="196"/>
      <c r="AB275" s="196"/>
      <c r="AC275" s="196"/>
      <c r="AD275" s="196"/>
      <c r="AE275" s="196"/>
      <c r="AF275" s="196"/>
      <c r="AG275" s="196"/>
      <c r="AH275" s="196"/>
      <c r="AI275" s="196"/>
      <c r="AJ275" s="196"/>
      <c r="AK275" s="196"/>
      <c r="AL275" s="196"/>
      <c r="AM275" s="196"/>
      <c r="AN275" s="196"/>
      <c r="AO275" s="196"/>
      <c r="AP275" s="196"/>
      <c r="AQ275" s="196"/>
      <c r="AR275" s="196"/>
      <c r="AS275" s="196"/>
      <c r="AT275" s="197"/>
      <c r="AU275" s="198">
        <v>0</v>
      </c>
      <c r="AV275" s="199">
        <v>0</v>
      </c>
      <c r="AW275" s="199">
        <v>0</v>
      </c>
      <c r="AX275" s="199">
        <v>0</v>
      </c>
      <c r="AY275" s="200">
        <v>0</v>
      </c>
      <c r="BA275" s="44" t="str">
        <f t="shared" ca="1" si="43"/>
        <v>NGT_TO</v>
      </c>
      <c r="BB275" s="44" t="str">
        <f t="shared" si="41"/>
        <v>Fixed Inputs</v>
      </c>
      <c r="BC275" s="44" t="str">
        <f t="shared" si="39"/>
        <v>Variant allowances</v>
      </c>
      <c r="BD275" s="44" t="str">
        <f t="shared" si="42"/>
        <v>Totex variant allowances allocation percentages</v>
      </c>
    </row>
    <row r="276" spans="5:56">
      <c r="E276" s="212" t="str" cm="1">
        <f t="array" ref="E276">INDEX($E$128:$E$170,INT((ROW()-ROW($E$173))/6)+1)</f>
        <v>Asset health Re-Opener</v>
      </c>
      <c r="G276" s="43" t="s">
        <v>33</v>
      </c>
      <c r="H276" s="43" t="s">
        <v>332</v>
      </c>
      <c r="AU276" s="164">
        <v>1</v>
      </c>
      <c r="AV276" s="29">
        <v>1</v>
      </c>
      <c r="AW276" s="29">
        <v>1</v>
      </c>
      <c r="AX276" s="29">
        <v>1</v>
      </c>
      <c r="AY276" s="184">
        <v>1</v>
      </c>
      <c r="BA276" s="44" t="str">
        <f t="shared" ca="1" si="43"/>
        <v>NGT_TO</v>
      </c>
      <c r="BB276" s="44" t="str">
        <f t="shared" si="41"/>
        <v>Fixed Inputs</v>
      </c>
      <c r="BC276" s="44" t="str">
        <f t="shared" si="39"/>
        <v>Variant allowances</v>
      </c>
      <c r="BD276" s="44" t="str">
        <f t="shared" si="42"/>
        <v>Totex variant allowances allocation percentages</v>
      </c>
    </row>
    <row r="277" spans="5:56">
      <c r="E277" s="212" t="str" cm="1">
        <f t="array" ref="E277">INDEX($E$128:$E$170,INT((ROW()-ROW($E$173))/6)+1)</f>
        <v>Asset health Re-Opener</v>
      </c>
      <c r="G277" s="43" t="s">
        <v>33</v>
      </c>
      <c r="H277" s="43" t="s">
        <v>333</v>
      </c>
      <c r="AU277" s="164">
        <v>0</v>
      </c>
      <c r="AV277" s="29">
        <v>0</v>
      </c>
      <c r="AW277" s="29">
        <v>0</v>
      </c>
      <c r="AX277" s="29">
        <v>0</v>
      </c>
      <c r="AY277" s="184">
        <v>0</v>
      </c>
      <c r="BA277" s="44" t="str">
        <f t="shared" ca="1" si="43"/>
        <v>NGT_TO</v>
      </c>
      <c r="BB277" s="44" t="str">
        <f t="shared" si="41"/>
        <v>Fixed Inputs</v>
      </c>
      <c r="BC277" s="44" t="str">
        <f t="shared" si="39"/>
        <v>Variant allowances</v>
      </c>
      <c r="BD277" s="44" t="str">
        <f t="shared" si="42"/>
        <v>Totex variant allowances allocation percentages</v>
      </c>
    </row>
    <row r="278" spans="5:56">
      <c r="E278" s="212" t="str" cm="1">
        <f t="array" ref="E278">INDEX($E$128:$E$170,INT((ROW()-ROW($E$173))/6)+1)</f>
        <v>Asset health Re-Opener</v>
      </c>
      <c r="G278" s="43" t="s">
        <v>33</v>
      </c>
      <c r="H278" s="43" t="s">
        <v>275</v>
      </c>
      <c r="AU278" s="164">
        <v>0</v>
      </c>
      <c r="AV278" s="29">
        <v>0</v>
      </c>
      <c r="AW278" s="29">
        <v>0</v>
      </c>
      <c r="AX278" s="29">
        <v>0</v>
      </c>
      <c r="AY278" s="184">
        <v>0</v>
      </c>
      <c r="BA278" s="44" t="str">
        <f t="shared" ca="1" si="43"/>
        <v>NGT_TO</v>
      </c>
      <c r="BB278" s="44" t="str">
        <f t="shared" si="41"/>
        <v>Fixed Inputs</v>
      </c>
      <c r="BC278" s="44" t="str">
        <f t="shared" si="39"/>
        <v>Variant allowances</v>
      </c>
      <c r="BD278" s="44" t="str">
        <f t="shared" si="42"/>
        <v>Totex variant allowances allocation percentages</v>
      </c>
    </row>
    <row r="279" spans="5:56">
      <c r="E279" s="212" t="str" cm="1">
        <f t="array" ref="E279">INDEX($E$128:$E$170,INT((ROW()-ROW($E$173))/6)+1)</f>
        <v>Asset health Re-Opener</v>
      </c>
      <c r="G279" s="43" t="s">
        <v>33</v>
      </c>
      <c r="H279" s="43" t="s">
        <v>273</v>
      </c>
      <c r="AU279" s="164">
        <v>0</v>
      </c>
      <c r="AV279" s="29">
        <v>0</v>
      </c>
      <c r="AW279" s="29">
        <v>0</v>
      </c>
      <c r="AX279" s="29">
        <v>0</v>
      </c>
      <c r="AY279" s="184">
        <v>0</v>
      </c>
      <c r="BA279" s="44" t="str">
        <f t="shared" ca="1" si="43"/>
        <v>NGT_TO</v>
      </c>
      <c r="BB279" s="44" t="str">
        <f t="shared" si="41"/>
        <v>Fixed Inputs</v>
      </c>
      <c r="BC279" s="44" t="str">
        <f t="shared" si="39"/>
        <v>Variant allowances</v>
      </c>
      <c r="BD279" s="44" t="str">
        <f t="shared" si="42"/>
        <v>Totex variant allowances allocation percentages</v>
      </c>
    </row>
    <row r="280" spans="5:56">
      <c r="E280" s="212" t="str" cm="1">
        <f t="array" ref="E280">INDEX($E$128:$E$170,INT((ROW()-ROW($E$173))/6)+1)</f>
        <v>Asset health Re-Opener</v>
      </c>
      <c r="G280" s="43" t="s">
        <v>33</v>
      </c>
      <c r="H280" s="43" t="s">
        <v>274</v>
      </c>
      <c r="AU280" s="255">
        <v>0</v>
      </c>
      <c r="AV280" s="250">
        <v>0</v>
      </c>
      <c r="AW280" s="250">
        <v>0</v>
      </c>
      <c r="AX280" s="250">
        <v>0</v>
      </c>
      <c r="AY280" s="251">
        <v>0</v>
      </c>
      <c r="BA280" s="44" t="str">
        <f t="shared" ca="1" si="43"/>
        <v>NGT_TO</v>
      </c>
      <c r="BB280" s="44" t="str">
        <f t="shared" si="41"/>
        <v>Fixed Inputs</v>
      </c>
      <c r="BC280" s="44" t="str">
        <f t="shared" si="39"/>
        <v>Variant allowances</v>
      </c>
      <c r="BD280" s="44" t="str">
        <f t="shared" si="42"/>
        <v>Totex variant allowances allocation percentages</v>
      </c>
    </row>
    <row r="281" spans="5:56">
      <c r="E281" s="195" t="str" cm="1">
        <f t="array" ref="E281">INDEX($E$128:$E$170,INT((ROW()-ROW($E$173))/6)+1)</f>
        <v>Redundant assets Price Control Deliverable</v>
      </c>
      <c r="F281" s="196"/>
      <c r="G281" s="196" t="s">
        <v>33</v>
      </c>
      <c r="H281" s="196" t="s">
        <v>331</v>
      </c>
      <c r="I281" s="196"/>
      <c r="J281" s="196"/>
      <c r="K281" s="196"/>
      <c r="L281" s="196"/>
      <c r="M281" s="196"/>
      <c r="N281" s="196"/>
      <c r="O281" s="196"/>
      <c r="P281" s="196"/>
      <c r="Q281" s="196"/>
      <c r="R281" s="196"/>
      <c r="S281" s="196"/>
      <c r="T281" s="196"/>
      <c r="U281" s="196"/>
      <c r="V281" s="196"/>
      <c r="W281" s="196"/>
      <c r="X281" s="196"/>
      <c r="Y281" s="196"/>
      <c r="Z281" s="196"/>
      <c r="AA281" s="196"/>
      <c r="AB281" s="196"/>
      <c r="AC281" s="196"/>
      <c r="AD281" s="196"/>
      <c r="AE281" s="196"/>
      <c r="AF281" s="196"/>
      <c r="AG281" s="196"/>
      <c r="AH281" s="196"/>
      <c r="AI281" s="196"/>
      <c r="AJ281" s="196"/>
      <c r="AK281" s="196"/>
      <c r="AL281" s="196"/>
      <c r="AM281" s="196"/>
      <c r="AN281" s="196"/>
      <c r="AO281" s="196"/>
      <c r="AP281" s="196"/>
      <c r="AQ281" s="196"/>
      <c r="AR281" s="196"/>
      <c r="AS281" s="196"/>
      <c r="AT281" s="197"/>
      <c r="AU281" s="209">
        <v>0</v>
      </c>
      <c r="AV281" s="210">
        <v>0</v>
      </c>
      <c r="AW281" s="210">
        <v>0</v>
      </c>
      <c r="AX281" s="210">
        <v>0</v>
      </c>
      <c r="AY281" s="211">
        <v>0</v>
      </c>
      <c r="BA281" s="44" t="str">
        <f t="shared" ca="1" si="43"/>
        <v>NGT_TO</v>
      </c>
      <c r="BB281" s="44" t="str">
        <f t="shared" si="41"/>
        <v>Fixed Inputs</v>
      </c>
      <c r="BC281" s="44" t="str">
        <f t="shared" si="39"/>
        <v>Variant allowances</v>
      </c>
      <c r="BD281" s="44" t="str">
        <f t="shared" si="42"/>
        <v>Totex variant allowances allocation percentages</v>
      </c>
    </row>
    <row r="282" spans="5:56">
      <c r="E282" s="212" t="str" cm="1">
        <f t="array" ref="E282">INDEX($E$128:$E$170,INT((ROW()-ROW($E$173))/6)+1)</f>
        <v>Redundant assets Price Control Deliverable</v>
      </c>
      <c r="G282" s="43" t="s">
        <v>33</v>
      </c>
      <c r="H282" s="43" t="s">
        <v>332</v>
      </c>
      <c r="AU282" s="165">
        <v>1</v>
      </c>
      <c r="AV282" s="32">
        <v>1</v>
      </c>
      <c r="AW282" s="32">
        <v>1</v>
      </c>
      <c r="AX282" s="32">
        <v>1</v>
      </c>
      <c r="AY282" s="213">
        <v>1</v>
      </c>
      <c r="BA282" s="44" t="str">
        <f t="shared" ca="1" si="43"/>
        <v>NGT_TO</v>
      </c>
      <c r="BB282" s="44" t="str">
        <f t="shared" si="41"/>
        <v>Fixed Inputs</v>
      </c>
      <c r="BC282" s="44" t="str">
        <f t="shared" si="39"/>
        <v>Variant allowances</v>
      </c>
      <c r="BD282" s="44" t="str">
        <f t="shared" si="42"/>
        <v>Totex variant allowances allocation percentages</v>
      </c>
    </row>
    <row r="283" spans="5:56">
      <c r="E283" s="212" t="str" cm="1">
        <f t="array" ref="E283">INDEX($E$128:$E$170,INT((ROW()-ROW($E$173))/6)+1)</f>
        <v>Redundant assets Price Control Deliverable</v>
      </c>
      <c r="G283" s="43" t="s">
        <v>33</v>
      </c>
      <c r="H283" s="43" t="s">
        <v>333</v>
      </c>
      <c r="AU283" s="165">
        <v>0</v>
      </c>
      <c r="AV283" s="32">
        <v>0</v>
      </c>
      <c r="AW283" s="32">
        <v>0</v>
      </c>
      <c r="AX283" s="32">
        <v>0</v>
      </c>
      <c r="AY283" s="213">
        <v>0</v>
      </c>
      <c r="BA283" s="44" t="str">
        <f t="shared" ca="1" si="43"/>
        <v>NGT_TO</v>
      </c>
      <c r="BB283" s="44" t="str">
        <f t="shared" si="41"/>
        <v>Fixed Inputs</v>
      </c>
      <c r="BC283" s="44" t="str">
        <f t="shared" si="39"/>
        <v>Variant allowances</v>
      </c>
      <c r="BD283" s="44" t="str">
        <f t="shared" si="42"/>
        <v>Totex variant allowances allocation percentages</v>
      </c>
    </row>
    <row r="284" spans="5:56">
      <c r="E284" s="212" t="str" cm="1">
        <f t="array" ref="E284">INDEX($E$128:$E$170,INT((ROW()-ROW($E$173))/6)+1)</f>
        <v>Redundant assets Price Control Deliverable</v>
      </c>
      <c r="G284" s="43" t="s">
        <v>33</v>
      </c>
      <c r="H284" s="43" t="s">
        <v>275</v>
      </c>
      <c r="AU284" s="165">
        <v>0</v>
      </c>
      <c r="AV284" s="32">
        <v>0</v>
      </c>
      <c r="AW284" s="32">
        <v>0</v>
      </c>
      <c r="AX284" s="32">
        <v>0</v>
      </c>
      <c r="AY284" s="213">
        <v>0</v>
      </c>
      <c r="BA284" s="44" t="str">
        <f t="shared" ca="1" si="43"/>
        <v>NGT_TO</v>
      </c>
      <c r="BB284" s="44" t="str">
        <f t="shared" si="41"/>
        <v>Fixed Inputs</v>
      </c>
      <c r="BC284" s="44" t="str">
        <f t="shared" si="39"/>
        <v>Variant allowances</v>
      </c>
      <c r="BD284" s="44" t="str">
        <f t="shared" si="42"/>
        <v>Totex variant allowances allocation percentages</v>
      </c>
    </row>
    <row r="285" spans="5:56">
      <c r="E285" s="212" t="str" cm="1">
        <f t="array" ref="E285">INDEX($E$128:$E$170,INT((ROW()-ROW($E$173))/6)+1)</f>
        <v>Redundant assets Price Control Deliverable</v>
      </c>
      <c r="G285" s="43" t="s">
        <v>33</v>
      </c>
      <c r="H285" s="43" t="s">
        <v>273</v>
      </c>
      <c r="AU285" s="165">
        <v>0</v>
      </c>
      <c r="AV285" s="32">
        <v>0</v>
      </c>
      <c r="AW285" s="32">
        <v>0</v>
      </c>
      <c r="AX285" s="32">
        <v>0</v>
      </c>
      <c r="AY285" s="213">
        <v>0</v>
      </c>
      <c r="BA285" s="44" t="str">
        <f t="shared" ca="1" si="43"/>
        <v>NGT_TO</v>
      </c>
      <c r="BB285" s="44" t="str">
        <f t="shared" si="41"/>
        <v>Fixed Inputs</v>
      </c>
      <c r="BC285" s="44" t="str">
        <f t="shared" si="39"/>
        <v>Variant allowances</v>
      </c>
      <c r="BD285" s="44" t="str">
        <f t="shared" si="42"/>
        <v>Totex variant allowances allocation percentages</v>
      </c>
    </row>
    <row r="286" spans="5:56">
      <c r="E286" s="201" t="str" cm="1">
        <f t="array" ref="E286">INDEX($E$128:$E$170,INT((ROW()-ROW($E$173))/6)+1)</f>
        <v>Redundant assets Price Control Deliverable</v>
      </c>
      <c r="F286" s="202"/>
      <c r="G286" s="202" t="s">
        <v>33</v>
      </c>
      <c r="H286" s="202" t="s">
        <v>274</v>
      </c>
      <c r="I286" s="202"/>
      <c r="J286" s="202"/>
      <c r="K286" s="202"/>
      <c r="L286" s="202"/>
      <c r="M286" s="202"/>
      <c r="N286" s="202"/>
      <c r="O286" s="202"/>
      <c r="P286" s="202"/>
      <c r="Q286" s="202"/>
      <c r="R286" s="202"/>
      <c r="S286" s="202"/>
      <c r="T286" s="202"/>
      <c r="U286" s="202"/>
      <c r="V286" s="202"/>
      <c r="W286" s="202"/>
      <c r="X286" s="202"/>
      <c r="Y286" s="202"/>
      <c r="Z286" s="202"/>
      <c r="AA286" s="202"/>
      <c r="AB286" s="202"/>
      <c r="AC286" s="202"/>
      <c r="AD286" s="202"/>
      <c r="AE286" s="202"/>
      <c r="AF286" s="202"/>
      <c r="AG286" s="202"/>
      <c r="AH286" s="202"/>
      <c r="AI286" s="202"/>
      <c r="AJ286" s="202"/>
      <c r="AK286" s="202"/>
      <c r="AL286" s="202"/>
      <c r="AM286" s="202"/>
      <c r="AN286" s="202"/>
      <c r="AO286" s="202"/>
      <c r="AP286" s="202"/>
      <c r="AQ286" s="202"/>
      <c r="AR286" s="202"/>
      <c r="AS286" s="202"/>
      <c r="AT286" s="203"/>
      <c r="AU286" s="214">
        <v>0</v>
      </c>
      <c r="AV286" s="215">
        <v>0</v>
      </c>
      <c r="AW286" s="215">
        <v>0</v>
      </c>
      <c r="AX286" s="215">
        <v>0</v>
      </c>
      <c r="AY286" s="216">
        <v>0</v>
      </c>
      <c r="BA286" s="44" t="str">
        <f t="shared" ca="1" si="43"/>
        <v>NGT_TO</v>
      </c>
      <c r="BB286" s="44" t="str">
        <f t="shared" si="41"/>
        <v>Fixed Inputs</v>
      </c>
      <c r="BC286" s="44" t="str">
        <f t="shared" si="39"/>
        <v>Variant allowances</v>
      </c>
      <c r="BD286" s="44" t="str">
        <f t="shared" si="42"/>
        <v>Totex variant allowances allocation percentages</v>
      </c>
    </row>
    <row r="287" spans="5:56">
      <c r="E287" s="212" t="str" cm="1">
        <f t="array" ref="E287">INDEX($E$128:$E$170,INT((ROW()-ROW($E$173))/6)+1)</f>
        <v>Pipeline Diversions Re-opener</v>
      </c>
      <c r="G287" s="43" t="s">
        <v>33</v>
      </c>
      <c r="H287" s="43" t="s">
        <v>331</v>
      </c>
      <c r="AU287" s="254">
        <v>0</v>
      </c>
      <c r="AV287" s="252">
        <v>0</v>
      </c>
      <c r="AW287" s="252">
        <v>0</v>
      </c>
      <c r="AX287" s="252">
        <v>0</v>
      </c>
      <c r="AY287" s="253">
        <v>0</v>
      </c>
      <c r="BA287" s="44" t="str">
        <f t="shared" ca="1" si="43"/>
        <v>NGT_TO</v>
      </c>
      <c r="BB287" s="44" t="str">
        <f t="shared" si="41"/>
        <v>Fixed Inputs</v>
      </c>
      <c r="BC287" s="44" t="str">
        <f t="shared" si="39"/>
        <v>Variant allowances</v>
      </c>
      <c r="BD287" s="44" t="str">
        <f t="shared" si="42"/>
        <v>Totex variant allowances allocation percentages</v>
      </c>
    </row>
    <row r="288" spans="5:56">
      <c r="E288" s="212" t="str" cm="1">
        <f t="array" ref="E288">INDEX($E$128:$E$170,INT((ROW()-ROW($E$173))/6)+1)</f>
        <v>Pipeline Diversions Re-opener</v>
      </c>
      <c r="G288" s="43" t="s">
        <v>33</v>
      </c>
      <c r="H288" s="43" t="s">
        <v>332</v>
      </c>
      <c r="AU288" s="164">
        <v>0</v>
      </c>
      <c r="AV288" s="29">
        <v>0</v>
      </c>
      <c r="AW288" s="29">
        <v>0</v>
      </c>
      <c r="AX288" s="29">
        <v>0</v>
      </c>
      <c r="AY288" s="184">
        <v>0</v>
      </c>
      <c r="BA288" s="44" t="str">
        <f t="shared" ca="1" si="43"/>
        <v>NGT_TO</v>
      </c>
      <c r="BB288" s="44" t="str">
        <f t="shared" si="41"/>
        <v>Fixed Inputs</v>
      </c>
      <c r="BC288" s="44" t="str">
        <f t="shared" si="39"/>
        <v>Variant allowances</v>
      </c>
      <c r="BD288" s="44" t="str">
        <f t="shared" si="42"/>
        <v>Totex variant allowances allocation percentages</v>
      </c>
    </row>
    <row r="289" spans="5:56">
      <c r="E289" s="212" t="str" cm="1">
        <f t="array" ref="E289">INDEX($E$128:$E$170,INT((ROW()-ROW($E$173))/6)+1)</f>
        <v>Pipeline Diversions Re-opener</v>
      </c>
      <c r="G289" s="43" t="s">
        <v>33</v>
      </c>
      <c r="H289" s="43" t="s">
        <v>333</v>
      </c>
      <c r="AU289" s="164">
        <v>0</v>
      </c>
      <c r="AV289" s="29">
        <v>0</v>
      </c>
      <c r="AW289" s="29">
        <v>0</v>
      </c>
      <c r="AX289" s="29">
        <v>0</v>
      </c>
      <c r="AY289" s="184">
        <v>0</v>
      </c>
      <c r="BA289" s="44" t="str">
        <f t="shared" ca="1" si="43"/>
        <v>NGT_TO</v>
      </c>
      <c r="BB289" s="44" t="str">
        <f t="shared" si="41"/>
        <v>Fixed Inputs</v>
      </c>
      <c r="BC289" s="44" t="str">
        <f t="shared" si="39"/>
        <v>Variant allowances</v>
      </c>
      <c r="BD289" s="44" t="str">
        <f t="shared" si="42"/>
        <v>Totex variant allowances allocation percentages</v>
      </c>
    </row>
    <row r="290" spans="5:56">
      <c r="E290" s="212" t="str" cm="1">
        <f t="array" ref="E290">INDEX($E$128:$E$170,INT((ROW()-ROW($E$173))/6)+1)</f>
        <v>Pipeline Diversions Re-opener</v>
      </c>
      <c r="G290" s="43" t="s">
        <v>33</v>
      </c>
      <c r="H290" s="43" t="s">
        <v>275</v>
      </c>
      <c r="AU290" s="164">
        <v>0</v>
      </c>
      <c r="AV290" s="29">
        <v>0</v>
      </c>
      <c r="AW290" s="29">
        <v>0</v>
      </c>
      <c r="AX290" s="29">
        <v>0</v>
      </c>
      <c r="AY290" s="184">
        <v>0</v>
      </c>
      <c r="BA290" s="44" t="str">
        <f t="shared" ca="1" si="43"/>
        <v>NGT_TO</v>
      </c>
      <c r="BB290" s="44" t="str">
        <f t="shared" si="41"/>
        <v>Fixed Inputs</v>
      </c>
      <c r="BC290" s="44" t="str">
        <f t="shared" si="39"/>
        <v>Variant allowances</v>
      </c>
      <c r="BD290" s="44" t="str">
        <f t="shared" si="42"/>
        <v>Totex variant allowances allocation percentages</v>
      </c>
    </row>
    <row r="291" spans="5:56">
      <c r="E291" s="212" t="str" cm="1">
        <f t="array" ref="E291">INDEX($E$128:$E$170,INT((ROW()-ROW($E$173))/6)+1)</f>
        <v>Pipeline Diversions Re-opener</v>
      </c>
      <c r="G291" s="43" t="s">
        <v>33</v>
      </c>
      <c r="H291" s="43" t="s">
        <v>273</v>
      </c>
      <c r="AU291" s="164">
        <v>0</v>
      </c>
      <c r="AV291" s="29">
        <v>0</v>
      </c>
      <c r="AW291" s="29">
        <v>0</v>
      </c>
      <c r="AX291" s="29">
        <v>0</v>
      </c>
      <c r="AY291" s="184">
        <v>0</v>
      </c>
      <c r="BA291" s="44" t="str">
        <f t="shared" ca="1" si="43"/>
        <v>NGT_TO</v>
      </c>
      <c r="BB291" s="44" t="str">
        <f t="shared" si="41"/>
        <v>Fixed Inputs</v>
      </c>
      <c r="BC291" s="44" t="str">
        <f t="shared" si="39"/>
        <v>Variant allowances</v>
      </c>
      <c r="BD291" s="44" t="str">
        <f t="shared" si="42"/>
        <v>Totex variant allowances allocation percentages</v>
      </c>
    </row>
    <row r="292" spans="5:56">
      <c r="E292" s="212" t="str" cm="1">
        <f t="array" ref="E292">INDEX($E$128:$E$170,INT((ROW()-ROW($E$173))/6)+1)</f>
        <v>Pipeline Diversions Re-opener</v>
      </c>
      <c r="G292" s="43" t="s">
        <v>33</v>
      </c>
      <c r="H292" s="43" t="s">
        <v>274</v>
      </c>
      <c r="AU292" s="255">
        <v>0</v>
      </c>
      <c r="AV292" s="250">
        <v>0</v>
      </c>
      <c r="AW292" s="250">
        <v>0</v>
      </c>
      <c r="AX292" s="250">
        <v>0</v>
      </c>
      <c r="AY292" s="251">
        <v>0</v>
      </c>
      <c r="BA292" s="44" t="str">
        <f t="shared" ca="1" si="43"/>
        <v>NGT_TO</v>
      </c>
      <c r="BB292" s="44" t="str">
        <f t="shared" si="41"/>
        <v>Fixed Inputs</v>
      </c>
      <c r="BC292" s="44" t="str">
        <f t="shared" si="39"/>
        <v>Variant allowances</v>
      </c>
      <c r="BD292" s="44" t="str">
        <f t="shared" si="42"/>
        <v>Totex variant allowances allocation percentages</v>
      </c>
    </row>
    <row r="293" spans="5:56">
      <c r="E293" s="195" t="str" cm="1">
        <f t="array" ref="E293">INDEX($E$128:$E$170,INT((ROW()-ROW($E$173))/6)+1)</f>
        <v>Biomethane Connections use it or lose it allowance</v>
      </c>
      <c r="F293" s="196"/>
      <c r="G293" s="196" t="s">
        <v>33</v>
      </c>
      <c r="H293" s="196" t="s">
        <v>331</v>
      </c>
      <c r="I293" s="196"/>
      <c r="J293" s="196"/>
      <c r="K293" s="196"/>
      <c r="L293" s="196"/>
      <c r="M293" s="196"/>
      <c r="N293" s="196"/>
      <c r="O293" s="196"/>
      <c r="P293" s="196"/>
      <c r="Q293" s="196"/>
      <c r="R293" s="196"/>
      <c r="S293" s="196"/>
      <c r="T293" s="196"/>
      <c r="U293" s="196"/>
      <c r="V293" s="196"/>
      <c r="W293" s="196"/>
      <c r="X293" s="196"/>
      <c r="Y293" s="196"/>
      <c r="Z293" s="196"/>
      <c r="AA293" s="196"/>
      <c r="AB293" s="196"/>
      <c r="AC293" s="196"/>
      <c r="AD293" s="196"/>
      <c r="AE293" s="196"/>
      <c r="AF293" s="196"/>
      <c r="AG293" s="196"/>
      <c r="AH293" s="196"/>
      <c r="AI293" s="196"/>
      <c r="AJ293" s="196"/>
      <c r="AK293" s="196"/>
      <c r="AL293" s="196"/>
      <c r="AM293" s="196"/>
      <c r="AN293" s="196"/>
      <c r="AO293" s="196"/>
      <c r="AP293" s="196"/>
      <c r="AQ293" s="196"/>
      <c r="AR293" s="196"/>
      <c r="AS293" s="196"/>
      <c r="AT293" s="197"/>
      <c r="AU293" s="209">
        <v>1</v>
      </c>
      <c r="AV293" s="210">
        <v>1</v>
      </c>
      <c r="AW293" s="210">
        <v>1</v>
      </c>
      <c r="AX293" s="210">
        <v>1</v>
      </c>
      <c r="AY293" s="211">
        <v>1</v>
      </c>
      <c r="BA293" s="44" t="str">
        <f t="shared" ca="1" si="43"/>
        <v>NGT_TO</v>
      </c>
      <c r="BB293" s="44" t="str">
        <f t="shared" si="41"/>
        <v>Fixed Inputs</v>
      </c>
      <c r="BC293" s="44" t="str">
        <f t="shared" si="39"/>
        <v>Variant allowances</v>
      </c>
      <c r="BD293" s="44" t="str">
        <f t="shared" si="42"/>
        <v>Totex variant allowances allocation percentages</v>
      </c>
    </row>
    <row r="294" spans="5:56">
      <c r="E294" s="212" t="str" cm="1">
        <f t="array" ref="E294">INDEX($E$128:$E$170,INT((ROW()-ROW($E$173))/6)+1)</f>
        <v>Biomethane Connections use it or lose it allowance</v>
      </c>
      <c r="G294" s="43" t="s">
        <v>33</v>
      </c>
      <c r="H294" s="43" t="s">
        <v>332</v>
      </c>
      <c r="AU294" s="165">
        <v>0</v>
      </c>
      <c r="AV294" s="32">
        <v>0</v>
      </c>
      <c r="AW294" s="32">
        <v>0</v>
      </c>
      <c r="AX294" s="32">
        <v>0</v>
      </c>
      <c r="AY294" s="213">
        <v>0</v>
      </c>
      <c r="BA294" s="44" t="str">
        <f t="shared" ca="1" si="43"/>
        <v>NGT_TO</v>
      </c>
      <c r="BB294" s="44" t="str">
        <f t="shared" si="41"/>
        <v>Fixed Inputs</v>
      </c>
      <c r="BC294" s="44" t="str">
        <f t="shared" si="39"/>
        <v>Variant allowances</v>
      </c>
      <c r="BD294" s="44" t="str">
        <f t="shared" si="42"/>
        <v>Totex variant allowances allocation percentages</v>
      </c>
    </row>
    <row r="295" spans="5:56">
      <c r="E295" s="212" t="str" cm="1">
        <f t="array" ref="E295">INDEX($E$128:$E$170,INT((ROW()-ROW($E$173))/6)+1)</f>
        <v>Biomethane Connections use it or lose it allowance</v>
      </c>
      <c r="G295" s="43" t="s">
        <v>33</v>
      </c>
      <c r="H295" s="43" t="s">
        <v>333</v>
      </c>
      <c r="AU295" s="165">
        <v>0</v>
      </c>
      <c r="AV295" s="32">
        <v>0</v>
      </c>
      <c r="AW295" s="32">
        <v>0</v>
      </c>
      <c r="AX295" s="32">
        <v>0</v>
      </c>
      <c r="AY295" s="213">
        <v>0</v>
      </c>
      <c r="BA295" s="44" t="str">
        <f t="shared" ca="1" si="43"/>
        <v>NGT_TO</v>
      </c>
      <c r="BB295" s="44" t="str">
        <f t="shared" si="41"/>
        <v>Fixed Inputs</v>
      </c>
      <c r="BC295" s="44" t="str">
        <f t="shared" si="39"/>
        <v>Variant allowances</v>
      </c>
      <c r="BD295" s="44" t="str">
        <f t="shared" si="42"/>
        <v>Totex variant allowances allocation percentages</v>
      </c>
    </row>
    <row r="296" spans="5:56">
      <c r="E296" s="212" t="str" cm="1">
        <f t="array" ref="E296">INDEX($E$128:$E$170,INT((ROW()-ROW($E$173))/6)+1)</f>
        <v>Biomethane Connections use it or lose it allowance</v>
      </c>
      <c r="G296" s="43" t="s">
        <v>33</v>
      </c>
      <c r="H296" s="43" t="s">
        <v>275</v>
      </c>
      <c r="AU296" s="165">
        <v>0</v>
      </c>
      <c r="AV296" s="32">
        <v>0</v>
      </c>
      <c r="AW296" s="32">
        <v>0</v>
      </c>
      <c r="AX296" s="32">
        <v>0</v>
      </c>
      <c r="AY296" s="213">
        <v>0</v>
      </c>
      <c r="BA296" s="44" t="str">
        <f t="shared" ca="1" si="43"/>
        <v>NGT_TO</v>
      </c>
      <c r="BB296" s="44" t="str">
        <f t="shared" si="41"/>
        <v>Fixed Inputs</v>
      </c>
      <c r="BC296" s="44" t="str">
        <f t="shared" si="39"/>
        <v>Variant allowances</v>
      </c>
      <c r="BD296" s="44" t="str">
        <f t="shared" si="42"/>
        <v>Totex variant allowances allocation percentages</v>
      </c>
    </row>
    <row r="297" spans="5:56">
      <c r="E297" s="212" t="str" cm="1">
        <f t="array" ref="E297">INDEX($E$128:$E$170,INT((ROW()-ROW($E$173))/6)+1)</f>
        <v>Biomethane Connections use it or lose it allowance</v>
      </c>
      <c r="G297" s="43" t="s">
        <v>33</v>
      </c>
      <c r="H297" s="43" t="s">
        <v>273</v>
      </c>
      <c r="AU297" s="165">
        <v>0</v>
      </c>
      <c r="AV297" s="32">
        <v>0</v>
      </c>
      <c r="AW297" s="32">
        <v>0</v>
      </c>
      <c r="AX297" s="32">
        <v>0</v>
      </c>
      <c r="AY297" s="213">
        <v>0</v>
      </c>
      <c r="BA297" s="44" t="str">
        <f t="shared" ca="1" si="43"/>
        <v>NGT_TO</v>
      </c>
      <c r="BB297" s="44" t="str">
        <f t="shared" si="41"/>
        <v>Fixed Inputs</v>
      </c>
      <c r="BC297" s="44" t="str">
        <f t="shared" si="39"/>
        <v>Variant allowances</v>
      </c>
      <c r="BD297" s="44" t="str">
        <f t="shared" si="42"/>
        <v>Totex variant allowances allocation percentages</v>
      </c>
    </row>
    <row r="298" spans="5:56">
      <c r="E298" s="212" t="str" cm="1">
        <f t="array" ref="E298">INDEX($E$128:$E$170,INT((ROW()-ROW($E$173))/6)+1)</f>
        <v>Biomethane Connections use it or lose it allowance</v>
      </c>
      <c r="G298" s="43" t="s">
        <v>33</v>
      </c>
      <c r="H298" s="43" t="s">
        <v>274</v>
      </c>
      <c r="AU298" s="217">
        <v>0</v>
      </c>
      <c r="AV298" s="218">
        <v>0</v>
      </c>
      <c r="AW298" s="218">
        <v>0</v>
      </c>
      <c r="AX298" s="218">
        <v>0</v>
      </c>
      <c r="AY298" s="219">
        <v>0</v>
      </c>
      <c r="BA298" s="44" t="str">
        <f t="shared" ca="1" si="43"/>
        <v>NGT_TO</v>
      </c>
      <c r="BB298" s="44" t="str">
        <f t="shared" si="41"/>
        <v>Fixed Inputs</v>
      </c>
      <c r="BC298" s="44" t="str">
        <f t="shared" si="39"/>
        <v>Variant allowances</v>
      </c>
      <c r="BD298" s="44" t="str">
        <f t="shared" si="42"/>
        <v>Totex variant allowances allocation percentages</v>
      </c>
    </row>
    <row r="299" spans="5:56">
      <c r="E299" s="195" t="str" cm="1">
        <f t="array" ref="E299">INDEX($E$128:$E$170,INT((ROW()-ROW($E$173))/6)+1)</f>
        <v>Compressor Breakdown Use it or lose it allowance</v>
      </c>
      <c r="F299" s="196"/>
      <c r="G299" s="196" t="s">
        <v>33</v>
      </c>
      <c r="H299" s="196" t="s">
        <v>331</v>
      </c>
      <c r="I299" s="196"/>
      <c r="J299" s="196"/>
      <c r="K299" s="196"/>
      <c r="L299" s="196"/>
      <c r="M299" s="196"/>
      <c r="N299" s="196"/>
      <c r="O299" s="196"/>
      <c r="P299" s="196"/>
      <c r="Q299" s="196"/>
      <c r="R299" s="196"/>
      <c r="S299" s="196"/>
      <c r="T299" s="196"/>
      <c r="U299" s="196"/>
      <c r="V299" s="196"/>
      <c r="W299" s="196"/>
      <c r="X299" s="196"/>
      <c r="Y299" s="196"/>
      <c r="Z299" s="196"/>
      <c r="AA299" s="196"/>
      <c r="AB299" s="196"/>
      <c r="AC299" s="196"/>
      <c r="AD299" s="196"/>
      <c r="AE299" s="196"/>
      <c r="AF299" s="196"/>
      <c r="AG299" s="196"/>
      <c r="AH299" s="196"/>
      <c r="AI299" s="196"/>
      <c r="AJ299" s="196"/>
      <c r="AK299" s="196"/>
      <c r="AL299" s="196"/>
      <c r="AM299" s="196"/>
      <c r="AN299" s="196"/>
      <c r="AO299" s="196"/>
      <c r="AP299" s="196"/>
      <c r="AQ299" s="196"/>
      <c r="AR299" s="196"/>
      <c r="AS299" s="196"/>
      <c r="AT299" s="197"/>
      <c r="AU299" s="209">
        <v>1</v>
      </c>
      <c r="AV299" s="210">
        <v>1</v>
      </c>
      <c r="AW299" s="210">
        <v>1</v>
      </c>
      <c r="AX299" s="210">
        <v>1</v>
      </c>
      <c r="AY299" s="211">
        <v>1</v>
      </c>
      <c r="AZ299"/>
      <c r="BA299" s="44" t="str">
        <f t="shared" ca="1" si="43"/>
        <v>NGT_TO</v>
      </c>
      <c r="BB299" s="44" t="str">
        <f t="shared" si="41"/>
        <v>Fixed Inputs</v>
      </c>
      <c r="BC299" s="44" t="str">
        <f t="shared" si="39"/>
        <v>Variant allowances</v>
      </c>
      <c r="BD299" s="44" t="str">
        <f t="shared" si="42"/>
        <v>Totex variant allowances allocation percentages</v>
      </c>
    </row>
    <row r="300" spans="5:56">
      <c r="E300" s="212" t="str" cm="1">
        <f t="array" ref="E300">INDEX($E$128:$E$170,INT((ROW()-ROW($E$173))/6)+1)</f>
        <v>Compressor Breakdown Use it or lose it allowance</v>
      </c>
      <c r="G300" s="43" t="s">
        <v>33</v>
      </c>
      <c r="H300" s="43" t="s">
        <v>332</v>
      </c>
      <c r="AU300" s="165">
        <v>0</v>
      </c>
      <c r="AV300" s="32">
        <v>0</v>
      </c>
      <c r="AW300" s="32">
        <v>0</v>
      </c>
      <c r="AX300" s="32">
        <v>0</v>
      </c>
      <c r="AY300" s="213">
        <v>0</v>
      </c>
      <c r="BA300" s="44" t="str">
        <f t="shared" ca="1" si="43"/>
        <v>NGT_TO</v>
      </c>
      <c r="BB300" s="44" t="str">
        <f t="shared" si="41"/>
        <v>Fixed Inputs</v>
      </c>
      <c r="BC300" s="44" t="str">
        <f t="shared" si="39"/>
        <v>Variant allowances</v>
      </c>
      <c r="BD300" s="44" t="str">
        <f t="shared" si="42"/>
        <v>Totex variant allowances allocation percentages</v>
      </c>
    </row>
    <row r="301" spans="5:56">
      <c r="E301" s="212" t="str" cm="1">
        <f t="array" ref="E301">INDEX($E$128:$E$170,INT((ROW()-ROW($E$173))/6)+1)</f>
        <v>Compressor Breakdown Use it or lose it allowance</v>
      </c>
      <c r="G301" s="43" t="s">
        <v>33</v>
      </c>
      <c r="H301" s="43" t="s">
        <v>333</v>
      </c>
      <c r="AU301" s="165">
        <v>0</v>
      </c>
      <c r="AV301" s="32">
        <v>0</v>
      </c>
      <c r="AW301" s="32">
        <v>0</v>
      </c>
      <c r="AX301" s="32">
        <v>0</v>
      </c>
      <c r="AY301" s="213">
        <v>0</v>
      </c>
      <c r="BA301" s="44" t="str">
        <f t="shared" ca="1" si="43"/>
        <v>NGT_TO</v>
      </c>
      <c r="BB301" s="44" t="str">
        <f t="shared" ref="BB301:BB332" si="44">$A$125</f>
        <v>Fixed Inputs</v>
      </c>
      <c r="BC301" s="44" t="str">
        <f t="shared" ref="BC301:BC364" si="45">$B$126</f>
        <v>Variant allowances</v>
      </c>
      <c r="BD301" s="44" t="str">
        <f t="shared" ref="BD301:BD332" si="46">$C$172</f>
        <v>Totex variant allowances allocation percentages</v>
      </c>
    </row>
    <row r="302" spans="5:56">
      <c r="E302" s="212" t="str" cm="1">
        <f t="array" ref="E302">INDEX($E$128:$E$170,INT((ROW()-ROW($E$173))/6)+1)</f>
        <v>Compressor Breakdown Use it or lose it allowance</v>
      </c>
      <c r="G302" s="43" t="s">
        <v>33</v>
      </c>
      <c r="H302" s="43" t="s">
        <v>275</v>
      </c>
      <c r="AU302" s="165">
        <v>0</v>
      </c>
      <c r="AV302" s="32">
        <v>0</v>
      </c>
      <c r="AW302" s="32">
        <v>0</v>
      </c>
      <c r="AX302" s="32">
        <v>0</v>
      </c>
      <c r="AY302" s="213">
        <v>0</v>
      </c>
      <c r="BA302" s="44" t="str">
        <f t="shared" ca="1" si="43"/>
        <v>NGT_TO</v>
      </c>
      <c r="BB302" s="44" t="str">
        <f t="shared" si="44"/>
        <v>Fixed Inputs</v>
      </c>
      <c r="BC302" s="44" t="str">
        <f t="shared" si="45"/>
        <v>Variant allowances</v>
      </c>
      <c r="BD302" s="44" t="str">
        <f t="shared" si="46"/>
        <v>Totex variant allowances allocation percentages</v>
      </c>
    </row>
    <row r="303" spans="5:56">
      <c r="E303" s="212" t="str" cm="1">
        <f t="array" ref="E303">INDEX($E$128:$E$170,INT((ROW()-ROW($E$173))/6)+1)</f>
        <v>Compressor Breakdown Use it or lose it allowance</v>
      </c>
      <c r="G303" s="43" t="s">
        <v>33</v>
      </c>
      <c r="H303" s="43" t="s">
        <v>273</v>
      </c>
      <c r="AU303" s="165">
        <v>0</v>
      </c>
      <c r="AV303" s="32">
        <v>0</v>
      </c>
      <c r="AW303" s="32">
        <v>0</v>
      </c>
      <c r="AX303" s="32">
        <v>0</v>
      </c>
      <c r="AY303" s="213">
        <v>0</v>
      </c>
      <c r="BA303" s="44" t="str">
        <f t="shared" ca="1" si="43"/>
        <v>NGT_TO</v>
      </c>
      <c r="BB303" s="44" t="str">
        <f t="shared" si="44"/>
        <v>Fixed Inputs</v>
      </c>
      <c r="BC303" s="44" t="str">
        <f t="shared" si="45"/>
        <v>Variant allowances</v>
      </c>
      <c r="BD303" s="44" t="str">
        <f t="shared" si="46"/>
        <v>Totex variant allowances allocation percentages</v>
      </c>
    </row>
    <row r="304" spans="5:56">
      <c r="E304" s="212" t="str" cm="1">
        <f t="array" ref="E304">INDEX($E$128:$E$170,INT((ROW()-ROW($E$173))/6)+1)</f>
        <v>Compressor Breakdown Use it or lose it allowance</v>
      </c>
      <c r="G304" s="43" t="s">
        <v>33</v>
      </c>
      <c r="H304" s="43" t="s">
        <v>274</v>
      </c>
      <c r="AU304" s="217">
        <v>0</v>
      </c>
      <c r="AV304" s="218">
        <v>0</v>
      </c>
      <c r="AW304" s="218">
        <v>0</v>
      </c>
      <c r="AX304" s="218">
        <v>0</v>
      </c>
      <c r="AY304" s="219">
        <v>0</v>
      </c>
      <c r="BA304" s="44" t="str">
        <f t="shared" ca="1" si="43"/>
        <v>NGT_TO</v>
      </c>
      <c r="BB304" s="44" t="str">
        <f t="shared" si="44"/>
        <v>Fixed Inputs</v>
      </c>
      <c r="BC304" s="44" t="str">
        <f t="shared" si="45"/>
        <v>Variant allowances</v>
      </c>
      <c r="BD304" s="44" t="str">
        <f t="shared" si="46"/>
        <v>Totex variant allowances allocation percentages</v>
      </c>
    </row>
    <row r="305" spans="5:56">
      <c r="E305" s="195" t="str" cm="1">
        <f t="array" ref="E305">INDEX($E$128:$E$170,INT((ROW()-ROW($E$173))/6)+1)</f>
        <v>Nitrogen Sleeves Price Control Deliverable</v>
      </c>
      <c r="F305" s="196"/>
      <c r="G305" s="196" t="s">
        <v>33</v>
      </c>
      <c r="H305" s="196" t="s">
        <v>331</v>
      </c>
      <c r="I305" s="196"/>
      <c r="J305" s="196"/>
      <c r="K305" s="196"/>
      <c r="L305" s="196"/>
      <c r="M305" s="196"/>
      <c r="N305" s="196"/>
      <c r="O305" s="196"/>
      <c r="P305" s="196"/>
      <c r="Q305" s="196"/>
      <c r="R305" s="196"/>
      <c r="S305" s="196"/>
      <c r="T305" s="196"/>
      <c r="U305" s="196"/>
      <c r="V305" s="196"/>
      <c r="W305" s="196"/>
      <c r="X305" s="196"/>
      <c r="Y305" s="196"/>
      <c r="Z305" s="196"/>
      <c r="AA305" s="196"/>
      <c r="AB305" s="196"/>
      <c r="AC305" s="196"/>
      <c r="AD305" s="196"/>
      <c r="AE305" s="196"/>
      <c r="AF305" s="196"/>
      <c r="AG305" s="196"/>
      <c r="AH305" s="196"/>
      <c r="AI305" s="196"/>
      <c r="AJ305" s="196"/>
      <c r="AK305" s="196"/>
      <c r="AL305" s="196"/>
      <c r="AM305" s="196"/>
      <c r="AN305" s="196"/>
      <c r="AO305" s="196"/>
      <c r="AP305" s="196"/>
      <c r="AQ305" s="196"/>
      <c r="AR305" s="196"/>
      <c r="AS305" s="196"/>
      <c r="AT305" s="197"/>
      <c r="AU305" s="209">
        <v>0</v>
      </c>
      <c r="AV305" s="210">
        <v>0</v>
      </c>
      <c r="AW305" s="210">
        <v>0</v>
      </c>
      <c r="AX305" s="210">
        <v>0</v>
      </c>
      <c r="AY305" s="211">
        <v>0</v>
      </c>
      <c r="BA305" s="44" t="str">
        <f t="shared" ca="1" si="43"/>
        <v>NGT_TO</v>
      </c>
      <c r="BB305" s="44" t="str">
        <f t="shared" si="44"/>
        <v>Fixed Inputs</v>
      </c>
      <c r="BC305" s="44" t="str">
        <f t="shared" si="45"/>
        <v>Variant allowances</v>
      </c>
      <c r="BD305" s="44" t="str">
        <f t="shared" si="46"/>
        <v>Totex variant allowances allocation percentages</v>
      </c>
    </row>
    <row r="306" spans="5:56">
      <c r="E306" s="212" t="str" cm="1">
        <f t="array" ref="E306">INDEX($E$128:$E$170,INT((ROW()-ROW($E$173))/6)+1)</f>
        <v>Nitrogen Sleeves Price Control Deliverable</v>
      </c>
      <c r="G306" s="43" t="s">
        <v>33</v>
      </c>
      <c r="H306" s="43" t="s">
        <v>332</v>
      </c>
      <c r="AU306" s="165">
        <v>1</v>
      </c>
      <c r="AV306" s="32">
        <v>1</v>
      </c>
      <c r="AW306" s="32">
        <v>1</v>
      </c>
      <c r="AX306" s="32">
        <v>1</v>
      </c>
      <c r="AY306" s="213">
        <v>1</v>
      </c>
      <c r="BA306" s="44" t="str">
        <f t="shared" ca="1" si="43"/>
        <v>NGT_TO</v>
      </c>
      <c r="BB306" s="44" t="str">
        <f t="shared" si="44"/>
        <v>Fixed Inputs</v>
      </c>
      <c r="BC306" s="44" t="str">
        <f t="shared" si="45"/>
        <v>Variant allowances</v>
      </c>
      <c r="BD306" s="44" t="str">
        <f t="shared" si="46"/>
        <v>Totex variant allowances allocation percentages</v>
      </c>
    </row>
    <row r="307" spans="5:56">
      <c r="E307" s="212" t="str" cm="1">
        <f t="array" ref="E307">INDEX($E$128:$E$170,INT((ROW()-ROW($E$173))/6)+1)</f>
        <v>Nitrogen Sleeves Price Control Deliverable</v>
      </c>
      <c r="G307" s="43" t="s">
        <v>33</v>
      </c>
      <c r="H307" s="43" t="s">
        <v>333</v>
      </c>
      <c r="AU307" s="165">
        <v>0</v>
      </c>
      <c r="AV307" s="32">
        <v>0</v>
      </c>
      <c r="AW307" s="32">
        <v>0</v>
      </c>
      <c r="AX307" s="32">
        <v>0</v>
      </c>
      <c r="AY307" s="213">
        <v>0</v>
      </c>
      <c r="BA307" s="44" t="str">
        <f t="shared" ca="1" si="43"/>
        <v>NGT_TO</v>
      </c>
      <c r="BB307" s="44" t="str">
        <f t="shared" si="44"/>
        <v>Fixed Inputs</v>
      </c>
      <c r="BC307" s="44" t="str">
        <f t="shared" si="45"/>
        <v>Variant allowances</v>
      </c>
      <c r="BD307" s="44" t="str">
        <f t="shared" si="46"/>
        <v>Totex variant allowances allocation percentages</v>
      </c>
    </row>
    <row r="308" spans="5:56">
      <c r="E308" s="212" t="str" cm="1">
        <f t="array" ref="E308">INDEX($E$128:$E$170,INT((ROW()-ROW($E$173))/6)+1)</f>
        <v>Nitrogen Sleeves Price Control Deliverable</v>
      </c>
      <c r="G308" s="43" t="s">
        <v>33</v>
      </c>
      <c r="H308" s="43" t="s">
        <v>275</v>
      </c>
      <c r="AU308" s="165">
        <v>0</v>
      </c>
      <c r="AV308" s="32">
        <v>0</v>
      </c>
      <c r="AW308" s="32">
        <v>0</v>
      </c>
      <c r="AX308" s="32">
        <v>0</v>
      </c>
      <c r="AY308" s="213">
        <v>0</v>
      </c>
      <c r="BA308" s="44" t="str">
        <f t="shared" ca="1" si="43"/>
        <v>NGT_TO</v>
      </c>
      <c r="BB308" s="44" t="str">
        <f t="shared" si="44"/>
        <v>Fixed Inputs</v>
      </c>
      <c r="BC308" s="44" t="str">
        <f t="shared" si="45"/>
        <v>Variant allowances</v>
      </c>
      <c r="BD308" s="44" t="str">
        <f t="shared" si="46"/>
        <v>Totex variant allowances allocation percentages</v>
      </c>
    </row>
    <row r="309" spans="5:56">
      <c r="E309" s="212" t="str" cm="1">
        <f t="array" ref="E309">INDEX($E$128:$E$170,INT((ROW()-ROW($E$173))/6)+1)</f>
        <v>Nitrogen Sleeves Price Control Deliverable</v>
      </c>
      <c r="G309" s="43" t="s">
        <v>33</v>
      </c>
      <c r="H309" s="43" t="s">
        <v>273</v>
      </c>
      <c r="AU309" s="165">
        <v>0</v>
      </c>
      <c r="AV309" s="32">
        <v>0</v>
      </c>
      <c r="AW309" s="32">
        <v>0</v>
      </c>
      <c r="AX309" s="32">
        <v>0</v>
      </c>
      <c r="AY309" s="213">
        <v>0</v>
      </c>
      <c r="BA309" s="44" t="str">
        <f t="shared" ca="1" si="43"/>
        <v>NGT_TO</v>
      </c>
      <c r="BB309" s="44" t="str">
        <f t="shared" si="44"/>
        <v>Fixed Inputs</v>
      </c>
      <c r="BC309" s="44" t="str">
        <f t="shared" si="45"/>
        <v>Variant allowances</v>
      </c>
      <c r="BD309" s="44" t="str">
        <f t="shared" si="46"/>
        <v>Totex variant allowances allocation percentages</v>
      </c>
    </row>
    <row r="310" spans="5:56">
      <c r="E310" s="201" t="str" cm="1">
        <f t="array" ref="E310">INDEX($E$128:$E$170,INT((ROW()-ROW($E$173))/6)+1)</f>
        <v>Nitrogen Sleeves Price Control Deliverable</v>
      </c>
      <c r="F310" s="202"/>
      <c r="G310" s="202" t="s">
        <v>33</v>
      </c>
      <c r="H310" s="202" t="s">
        <v>274</v>
      </c>
      <c r="I310" s="202"/>
      <c r="J310" s="202"/>
      <c r="K310" s="202"/>
      <c r="L310" s="202"/>
      <c r="M310" s="202"/>
      <c r="N310" s="202"/>
      <c r="O310" s="202"/>
      <c r="P310" s="202"/>
      <c r="Q310" s="202"/>
      <c r="R310" s="202"/>
      <c r="S310" s="202"/>
      <c r="T310" s="202"/>
      <c r="U310" s="202"/>
      <c r="V310" s="202"/>
      <c r="W310" s="202"/>
      <c r="X310" s="202"/>
      <c r="Y310" s="202"/>
      <c r="Z310" s="202"/>
      <c r="AA310" s="202"/>
      <c r="AB310" s="202"/>
      <c r="AC310" s="202"/>
      <c r="AD310" s="202"/>
      <c r="AE310" s="202"/>
      <c r="AF310" s="202"/>
      <c r="AG310" s="202"/>
      <c r="AH310" s="202"/>
      <c r="AI310" s="202"/>
      <c r="AJ310" s="202"/>
      <c r="AK310" s="202"/>
      <c r="AL310" s="202"/>
      <c r="AM310" s="202"/>
      <c r="AN310" s="202"/>
      <c r="AO310" s="202"/>
      <c r="AP310" s="202"/>
      <c r="AQ310" s="202"/>
      <c r="AR310" s="202"/>
      <c r="AS310" s="202"/>
      <c r="AT310" s="203"/>
      <c r="AU310" s="214">
        <v>0</v>
      </c>
      <c r="AV310" s="215">
        <v>0</v>
      </c>
      <c r="AW310" s="215">
        <v>0</v>
      </c>
      <c r="AX310" s="215">
        <v>0</v>
      </c>
      <c r="AY310" s="216">
        <v>0</v>
      </c>
      <c r="BA310" s="44" t="str">
        <f t="shared" ca="1" si="43"/>
        <v>NGT_TO</v>
      </c>
      <c r="BB310" s="44" t="str">
        <f t="shared" si="44"/>
        <v>Fixed Inputs</v>
      </c>
      <c r="BC310" s="44" t="str">
        <f t="shared" si="45"/>
        <v>Variant allowances</v>
      </c>
      <c r="BD310" s="44" t="str">
        <f t="shared" si="46"/>
        <v>Totex variant allowances allocation percentages</v>
      </c>
    </row>
    <row r="311" spans="5:56">
      <c r="E311" s="195" t="str" cm="1">
        <f t="array" ref="E311">INDEX($E$128:$E$170,INT((ROW()-ROW($E$173))/6)+1)</f>
        <v>West Import Resilience Project Price Control Deliverable</v>
      </c>
      <c r="F311" s="196"/>
      <c r="G311" s="196" t="s">
        <v>33</v>
      </c>
      <c r="H311" s="196" t="s">
        <v>331</v>
      </c>
      <c r="I311" s="196"/>
      <c r="J311" s="196"/>
      <c r="K311" s="196"/>
      <c r="L311" s="196"/>
      <c r="M311" s="196"/>
      <c r="N311" s="196"/>
      <c r="O311" s="196"/>
      <c r="P311" s="196"/>
      <c r="Q311" s="196"/>
      <c r="R311" s="196"/>
      <c r="S311" s="196"/>
      <c r="T311" s="196"/>
      <c r="U311" s="196"/>
      <c r="V311" s="196"/>
      <c r="W311" s="196"/>
      <c r="X311" s="196"/>
      <c r="Y311" s="196"/>
      <c r="Z311" s="196"/>
      <c r="AA311" s="196"/>
      <c r="AB311" s="196"/>
      <c r="AC311" s="196"/>
      <c r="AD311" s="196"/>
      <c r="AE311" s="196"/>
      <c r="AF311" s="196"/>
      <c r="AG311" s="196"/>
      <c r="AH311" s="196"/>
      <c r="AI311" s="196"/>
      <c r="AJ311" s="196"/>
      <c r="AK311" s="196"/>
      <c r="AL311" s="196"/>
      <c r="AM311" s="196"/>
      <c r="AN311" s="196"/>
      <c r="AO311" s="196"/>
      <c r="AP311" s="196"/>
      <c r="AQ311" s="196"/>
      <c r="AR311" s="196"/>
      <c r="AS311" s="196"/>
      <c r="AT311" s="196"/>
      <c r="AU311" s="209">
        <v>0</v>
      </c>
      <c r="AV311" s="210">
        <v>0</v>
      </c>
      <c r="AW311" s="210">
        <v>0</v>
      </c>
      <c r="AX311" s="210">
        <v>0</v>
      </c>
      <c r="AY311" s="211">
        <v>0</v>
      </c>
      <c r="BA311" s="44" t="str">
        <f t="shared" ca="1" si="43"/>
        <v>NGT_TO</v>
      </c>
      <c r="BB311" s="44" t="str">
        <f t="shared" si="44"/>
        <v>Fixed Inputs</v>
      </c>
      <c r="BC311" s="44" t="str">
        <f t="shared" si="45"/>
        <v>Variant allowances</v>
      </c>
      <c r="BD311" s="44" t="str">
        <f t="shared" si="46"/>
        <v>Totex variant allowances allocation percentages</v>
      </c>
    </row>
    <row r="312" spans="5:56">
      <c r="E312" s="212" t="str" cm="1">
        <f t="array" ref="E312">INDEX($E$128:$E$170,INT((ROW()-ROW($E$173))/6)+1)</f>
        <v>West Import Resilience Project Price Control Deliverable</v>
      </c>
      <c r="G312" s="43" t="s">
        <v>33</v>
      </c>
      <c r="H312" s="43" t="s">
        <v>332</v>
      </c>
      <c r="AU312" s="165">
        <v>1</v>
      </c>
      <c r="AV312" s="32">
        <v>1</v>
      </c>
      <c r="AW312" s="32">
        <v>1</v>
      </c>
      <c r="AX312" s="32">
        <v>1</v>
      </c>
      <c r="AY312" s="213">
        <v>1</v>
      </c>
      <c r="AZ312"/>
      <c r="BA312" s="44" t="str">
        <f t="shared" ca="1" si="43"/>
        <v>NGT_TO</v>
      </c>
      <c r="BB312" s="44" t="str">
        <f t="shared" si="44"/>
        <v>Fixed Inputs</v>
      </c>
      <c r="BC312" s="44" t="str">
        <f t="shared" si="45"/>
        <v>Variant allowances</v>
      </c>
      <c r="BD312" s="44" t="str">
        <f t="shared" si="46"/>
        <v>Totex variant allowances allocation percentages</v>
      </c>
    </row>
    <row r="313" spans="5:56">
      <c r="E313" s="212" t="str" cm="1">
        <f t="array" ref="E313">INDEX($E$128:$E$170,INT((ROW()-ROW($E$173))/6)+1)</f>
        <v>West Import Resilience Project Price Control Deliverable</v>
      </c>
      <c r="G313" s="43" t="s">
        <v>33</v>
      </c>
      <c r="H313" s="43" t="s">
        <v>333</v>
      </c>
      <c r="AU313" s="165">
        <v>0</v>
      </c>
      <c r="AV313" s="32">
        <v>0</v>
      </c>
      <c r="AW313" s="32">
        <v>0</v>
      </c>
      <c r="AX313" s="32">
        <v>0</v>
      </c>
      <c r="AY313" s="213">
        <v>0</v>
      </c>
      <c r="BA313" s="44" t="str">
        <f t="shared" ca="1" si="43"/>
        <v>NGT_TO</v>
      </c>
      <c r="BB313" s="44" t="str">
        <f t="shared" si="44"/>
        <v>Fixed Inputs</v>
      </c>
      <c r="BC313" s="44" t="str">
        <f t="shared" si="45"/>
        <v>Variant allowances</v>
      </c>
      <c r="BD313" s="44" t="str">
        <f t="shared" si="46"/>
        <v>Totex variant allowances allocation percentages</v>
      </c>
    </row>
    <row r="314" spans="5:56">
      <c r="E314" s="212" t="str" cm="1">
        <f t="array" ref="E314">INDEX($E$128:$E$170,INT((ROW()-ROW($E$173))/6)+1)</f>
        <v>West Import Resilience Project Price Control Deliverable</v>
      </c>
      <c r="G314" s="43" t="s">
        <v>33</v>
      </c>
      <c r="H314" s="43" t="s">
        <v>275</v>
      </c>
      <c r="AU314" s="165">
        <v>0</v>
      </c>
      <c r="AV314" s="32">
        <v>0</v>
      </c>
      <c r="AW314" s="32">
        <v>0</v>
      </c>
      <c r="AX314" s="32">
        <v>0</v>
      </c>
      <c r="AY314" s="213">
        <v>0</v>
      </c>
      <c r="BA314" s="44" t="str">
        <f t="shared" ca="1" si="43"/>
        <v>NGT_TO</v>
      </c>
      <c r="BB314" s="44" t="str">
        <f t="shared" si="44"/>
        <v>Fixed Inputs</v>
      </c>
      <c r="BC314" s="44" t="str">
        <f t="shared" si="45"/>
        <v>Variant allowances</v>
      </c>
      <c r="BD314" s="44" t="str">
        <f t="shared" si="46"/>
        <v>Totex variant allowances allocation percentages</v>
      </c>
    </row>
    <row r="315" spans="5:56">
      <c r="E315" s="212" t="str" cm="1">
        <f t="array" ref="E315">INDEX($E$128:$E$170,INT((ROW()-ROW($E$173))/6)+1)</f>
        <v>West Import Resilience Project Price Control Deliverable</v>
      </c>
      <c r="G315" s="43" t="s">
        <v>33</v>
      </c>
      <c r="H315" s="43" t="s">
        <v>273</v>
      </c>
      <c r="AU315" s="165">
        <v>0</v>
      </c>
      <c r="AV315" s="32">
        <v>0</v>
      </c>
      <c r="AW315" s="32">
        <v>0</v>
      </c>
      <c r="AX315" s="32">
        <v>0</v>
      </c>
      <c r="AY315" s="213">
        <v>0</v>
      </c>
      <c r="BA315" s="44" t="str">
        <f t="shared" ca="1" si="43"/>
        <v>NGT_TO</v>
      </c>
      <c r="BB315" s="44" t="str">
        <f t="shared" si="44"/>
        <v>Fixed Inputs</v>
      </c>
      <c r="BC315" s="44" t="str">
        <f t="shared" si="45"/>
        <v>Variant allowances</v>
      </c>
      <c r="BD315" s="44" t="str">
        <f t="shared" si="46"/>
        <v>Totex variant allowances allocation percentages</v>
      </c>
    </row>
    <row r="316" spans="5:56">
      <c r="E316" s="201" t="str" cm="1">
        <f t="array" ref="E316">INDEX($E$128:$E$170,INT((ROW()-ROW($E$173))/6)+1)</f>
        <v>West Import Resilience Project Price Control Deliverable</v>
      </c>
      <c r="F316" s="202"/>
      <c r="G316" s="202" t="s">
        <v>33</v>
      </c>
      <c r="H316" s="202" t="s">
        <v>274</v>
      </c>
      <c r="I316" s="202"/>
      <c r="J316" s="202"/>
      <c r="K316" s="202"/>
      <c r="L316" s="202"/>
      <c r="M316" s="202"/>
      <c r="N316" s="202"/>
      <c r="O316" s="202"/>
      <c r="P316" s="202"/>
      <c r="Q316" s="202"/>
      <c r="R316" s="202"/>
      <c r="S316" s="202"/>
      <c r="T316" s="202"/>
      <c r="U316" s="202"/>
      <c r="V316" s="202"/>
      <c r="W316" s="202"/>
      <c r="X316" s="202"/>
      <c r="Y316" s="202"/>
      <c r="Z316" s="202"/>
      <c r="AA316" s="202"/>
      <c r="AB316" s="202"/>
      <c r="AC316" s="202"/>
      <c r="AD316" s="202"/>
      <c r="AE316" s="202"/>
      <c r="AF316" s="202"/>
      <c r="AG316" s="202"/>
      <c r="AH316" s="202"/>
      <c r="AI316" s="202"/>
      <c r="AJ316" s="202"/>
      <c r="AK316" s="202"/>
      <c r="AL316" s="202"/>
      <c r="AM316" s="202"/>
      <c r="AN316" s="202"/>
      <c r="AO316" s="202"/>
      <c r="AP316" s="202"/>
      <c r="AQ316" s="202"/>
      <c r="AR316" s="202"/>
      <c r="AS316" s="202"/>
      <c r="AT316" s="203"/>
      <c r="AU316" s="214">
        <v>0</v>
      </c>
      <c r="AV316" s="215">
        <v>0</v>
      </c>
      <c r="AW316" s="215">
        <v>0</v>
      </c>
      <c r="AX316" s="215">
        <v>0</v>
      </c>
      <c r="AY316" s="216">
        <v>0</v>
      </c>
      <c r="BA316" s="44" t="str">
        <f t="shared" ca="1" si="43"/>
        <v>NGT_TO</v>
      </c>
      <c r="BB316" s="44" t="str">
        <f t="shared" si="44"/>
        <v>Fixed Inputs</v>
      </c>
      <c r="BC316" s="44" t="str">
        <f t="shared" si="45"/>
        <v>Variant allowances</v>
      </c>
      <c r="BD316" s="44" t="str">
        <f t="shared" si="46"/>
        <v>Totex variant allowances allocation percentages</v>
      </c>
    </row>
    <row r="317" spans="5:56">
      <c r="E317" s="212" t="str" cm="1">
        <f t="array" ref="E317">INDEX($E$128:$E$170,INT((ROW()-ROW($E$173))/6)+1)</f>
        <v>West Import Resilience Project Re-opener</v>
      </c>
      <c r="G317" s="43" t="s">
        <v>33</v>
      </c>
      <c r="H317" s="43" t="s">
        <v>331</v>
      </c>
      <c r="AU317" s="254">
        <v>1</v>
      </c>
      <c r="AV317" s="252">
        <v>1</v>
      </c>
      <c r="AW317" s="252">
        <v>1</v>
      </c>
      <c r="AX317" s="252">
        <v>1</v>
      </c>
      <c r="AY317" s="253">
        <v>1</v>
      </c>
      <c r="BA317" s="44" t="str">
        <f t="shared" ca="1" si="43"/>
        <v>NGT_TO</v>
      </c>
      <c r="BB317" s="44" t="str">
        <f t="shared" si="44"/>
        <v>Fixed Inputs</v>
      </c>
      <c r="BC317" s="44" t="str">
        <f t="shared" si="45"/>
        <v>Variant allowances</v>
      </c>
      <c r="BD317" s="44" t="str">
        <f t="shared" si="46"/>
        <v>Totex variant allowances allocation percentages</v>
      </c>
    </row>
    <row r="318" spans="5:56">
      <c r="E318" s="212" t="str" cm="1">
        <f t="array" ref="E318">INDEX($E$128:$E$170,INT((ROW()-ROW($E$173))/6)+1)</f>
        <v>West Import Resilience Project Re-opener</v>
      </c>
      <c r="G318" s="43" t="s">
        <v>33</v>
      </c>
      <c r="H318" s="43" t="s">
        <v>332</v>
      </c>
      <c r="AU318" s="164">
        <v>0</v>
      </c>
      <c r="AV318" s="29">
        <v>0</v>
      </c>
      <c r="AW318" s="29">
        <v>0</v>
      </c>
      <c r="AX318" s="29">
        <v>0</v>
      </c>
      <c r="AY318" s="184">
        <v>0</v>
      </c>
      <c r="BA318" s="44" t="str">
        <f t="shared" ca="1" si="43"/>
        <v>NGT_TO</v>
      </c>
      <c r="BB318" s="44" t="str">
        <f t="shared" si="44"/>
        <v>Fixed Inputs</v>
      </c>
      <c r="BC318" s="44" t="str">
        <f t="shared" si="45"/>
        <v>Variant allowances</v>
      </c>
      <c r="BD318" s="44" t="str">
        <f t="shared" si="46"/>
        <v>Totex variant allowances allocation percentages</v>
      </c>
    </row>
    <row r="319" spans="5:56">
      <c r="E319" s="212" t="str" cm="1">
        <f t="array" ref="E319">INDEX($E$128:$E$170,INT((ROW()-ROW($E$173))/6)+1)</f>
        <v>West Import Resilience Project Re-opener</v>
      </c>
      <c r="G319" s="43" t="s">
        <v>33</v>
      </c>
      <c r="H319" s="43" t="s">
        <v>333</v>
      </c>
      <c r="AU319" s="164">
        <v>0</v>
      </c>
      <c r="AV319" s="29">
        <v>0</v>
      </c>
      <c r="AW319" s="29">
        <v>0</v>
      </c>
      <c r="AX319" s="29">
        <v>0</v>
      </c>
      <c r="AY319" s="184">
        <v>0</v>
      </c>
      <c r="BA319" s="44" t="str">
        <f t="shared" ca="1" si="43"/>
        <v>NGT_TO</v>
      </c>
      <c r="BB319" s="44" t="str">
        <f t="shared" si="44"/>
        <v>Fixed Inputs</v>
      </c>
      <c r="BC319" s="44" t="str">
        <f t="shared" si="45"/>
        <v>Variant allowances</v>
      </c>
      <c r="BD319" s="44" t="str">
        <f t="shared" si="46"/>
        <v>Totex variant allowances allocation percentages</v>
      </c>
    </row>
    <row r="320" spans="5:56">
      <c r="E320" s="212" t="str" cm="1">
        <f t="array" ref="E320">INDEX($E$128:$E$170,INT((ROW()-ROW($E$173))/6)+1)</f>
        <v>West Import Resilience Project Re-opener</v>
      </c>
      <c r="G320" s="43" t="s">
        <v>33</v>
      </c>
      <c r="H320" s="43" t="s">
        <v>275</v>
      </c>
      <c r="AU320" s="164">
        <v>0</v>
      </c>
      <c r="AV320" s="29">
        <v>0</v>
      </c>
      <c r="AW320" s="29">
        <v>0</v>
      </c>
      <c r="AX320" s="29">
        <v>0</v>
      </c>
      <c r="AY320" s="184">
        <v>0</v>
      </c>
      <c r="BA320" s="44" t="str">
        <f t="shared" ca="1" si="43"/>
        <v>NGT_TO</v>
      </c>
      <c r="BB320" s="44" t="str">
        <f t="shared" si="44"/>
        <v>Fixed Inputs</v>
      </c>
      <c r="BC320" s="44" t="str">
        <f t="shared" si="45"/>
        <v>Variant allowances</v>
      </c>
      <c r="BD320" s="44" t="str">
        <f t="shared" si="46"/>
        <v>Totex variant allowances allocation percentages</v>
      </c>
    </row>
    <row r="321" spans="5:56">
      <c r="E321" s="212" t="str" cm="1">
        <f t="array" ref="E321">INDEX($E$128:$E$170,INT((ROW()-ROW($E$173))/6)+1)</f>
        <v>West Import Resilience Project Re-opener</v>
      </c>
      <c r="G321" s="43" t="s">
        <v>33</v>
      </c>
      <c r="H321" s="43" t="s">
        <v>273</v>
      </c>
      <c r="AU321" s="164">
        <v>0</v>
      </c>
      <c r="AV321" s="29">
        <v>0</v>
      </c>
      <c r="AW321" s="29">
        <v>0</v>
      </c>
      <c r="AX321" s="29">
        <v>0</v>
      </c>
      <c r="AY321" s="184">
        <v>0</v>
      </c>
      <c r="BA321" s="44" t="str">
        <f t="shared" ca="1" si="43"/>
        <v>NGT_TO</v>
      </c>
      <c r="BB321" s="44" t="str">
        <f t="shared" si="44"/>
        <v>Fixed Inputs</v>
      </c>
      <c r="BC321" s="44" t="str">
        <f t="shared" si="45"/>
        <v>Variant allowances</v>
      </c>
      <c r="BD321" s="44" t="str">
        <f t="shared" si="46"/>
        <v>Totex variant allowances allocation percentages</v>
      </c>
    </row>
    <row r="322" spans="5:56">
      <c r="E322" s="201" t="str" cm="1">
        <f t="array" ref="E322">INDEX($E$128:$E$170,INT((ROW()-ROW($E$173))/6)+1)</f>
        <v>West Import Resilience Project Re-opener</v>
      </c>
      <c r="F322" s="202"/>
      <c r="G322" s="202" t="s">
        <v>33</v>
      </c>
      <c r="H322" s="202" t="s">
        <v>274</v>
      </c>
      <c r="I322" s="202"/>
      <c r="J322" s="202"/>
      <c r="K322" s="202"/>
      <c r="L322" s="202"/>
      <c r="M322" s="202"/>
      <c r="N322" s="202"/>
      <c r="O322" s="202"/>
      <c r="P322" s="202"/>
      <c r="Q322" s="202"/>
      <c r="R322" s="202"/>
      <c r="S322" s="202"/>
      <c r="T322" s="202"/>
      <c r="U322" s="202"/>
      <c r="V322" s="202"/>
      <c r="W322" s="202"/>
      <c r="X322" s="202"/>
      <c r="Y322" s="202"/>
      <c r="Z322" s="202"/>
      <c r="AA322" s="202"/>
      <c r="AB322" s="202"/>
      <c r="AC322" s="202"/>
      <c r="AD322" s="202"/>
      <c r="AE322" s="202"/>
      <c r="AF322" s="202"/>
      <c r="AG322" s="202"/>
      <c r="AH322" s="202"/>
      <c r="AI322" s="202"/>
      <c r="AJ322" s="202"/>
      <c r="AK322" s="202"/>
      <c r="AL322" s="202"/>
      <c r="AM322" s="202"/>
      <c r="AN322" s="202"/>
      <c r="AO322" s="202"/>
      <c r="AP322" s="202"/>
      <c r="AQ322" s="202"/>
      <c r="AR322" s="202"/>
      <c r="AS322" s="202"/>
      <c r="AT322" s="203"/>
      <c r="AU322" s="204">
        <v>0</v>
      </c>
      <c r="AV322" s="205">
        <v>0</v>
      </c>
      <c r="AW322" s="205">
        <v>0</v>
      </c>
      <c r="AX322" s="205">
        <v>0</v>
      </c>
      <c r="AY322" s="206">
        <v>0</v>
      </c>
      <c r="BA322" s="44" t="str">
        <f t="shared" ca="1" si="43"/>
        <v>NGT_TO</v>
      </c>
      <c r="BB322" s="44" t="str">
        <f t="shared" si="44"/>
        <v>Fixed Inputs</v>
      </c>
      <c r="BC322" s="44" t="str">
        <f t="shared" si="45"/>
        <v>Variant allowances</v>
      </c>
      <c r="BD322" s="44" t="str">
        <f t="shared" si="46"/>
        <v>Totex variant allowances allocation percentages</v>
      </c>
    </row>
    <row r="323" spans="5:56">
      <c r="E323" s="195" t="str" cm="1">
        <f t="array" ref="E323">INDEX($E$128:$E$170,INT((ROW()-ROW($E$173))/6)+1)</f>
        <v>Gas strategic planning re-opener</v>
      </c>
      <c r="F323" s="196"/>
      <c r="G323" s="196" t="s">
        <v>33</v>
      </c>
      <c r="H323" s="196" t="s">
        <v>331</v>
      </c>
      <c r="I323" s="196"/>
      <c r="J323" s="196"/>
      <c r="K323" s="196"/>
      <c r="L323" s="196"/>
      <c r="M323" s="196"/>
      <c r="N323" s="196"/>
      <c r="O323" s="196"/>
      <c r="P323" s="196"/>
      <c r="Q323" s="196"/>
      <c r="R323" s="196"/>
      <c r="S323" s="196"/>
      <c r="T323" s="196"/>
      <c r="U323" s="196"/>
      <c r="V323" s="196"/>
      <c r="W323" s="196"/>
      <c r="X323" s="196"/>
      <c r="Y323" s="196"/>
      <c r="Z323" s="196"/>
      <c r="AA323" s="196"/>
      <c r="AB323" s="196"/>
      <c r="AC323" s="196"/>
      <c r="AD323" s="196"/>
      <c r="AE323" s="196"/>
      <c r="AF323" s="196"/>
      <c r="AG323" s="196"/>
      <c r="AH323" s="196"/>
      <c r="AI323" s="196"/>
      <c r="AJ323" s="196"/>
      <c r="AK323" s="196"/>
      <c r="AL323" s="196"/>
      <c r="AM323" s="196"/>
      <c r="AN323" s="196"/>
      <c r="AO323" s="196"/>
      <c r="AP323" s="196"/>
      <c r="AQ323" s="196"/>
      <c r="AR323" s="196"/>
      <c r="AS323" s="196"/>
      <c r="AT323" s="197"/>
      <c r="AU323" s="198">
        <v>0</v>
      </c>
      <c r="AV323" s="199">
        <v>0</v>
      </c>
      <c r="AW323" s="199">
        <v>0</v>
      </c>
      <c r="AX323" s="199">
        <v>0</v>
      </c>
      <c r="AY323" s="200">
        <v>0</v>
      </c>
      <c r="BA323" s="44" t="str">
        <f t="shared" ca="1" si="43"/>
        <v>NGT_TO</v>
      </c>
      <c r="BB323" s="44" t="str">
        <f t="shared" si="44"/>
        <v>Fixed Inputs</v>
      </c>
      <c r="BC323" s="44" t="str">
        <f t="shared" si="45"/>
        <v>Variant allowances</v>
      </c>
      <c r="BD323" s="44" t="str">
        <f t="shared" si="46"/>
        <v>Totex variant allowances allocation percentages</v>
      </c>
    </row>
    <row r="324" spans="5:56">
      <c r="E324" s="212" t="str" cm="1">
        <f t="array" ref="E324">INDEX($E$128:$E$170,INT((ROW()-ROW($E$173))/6)+1)</f>
        <v>Gas strategic planning re-opener</v>
      </c>
      <c r="G324" s="43" t="s">
        <v>33</v>
      </c>
      <c r="H324" s="43" t="s">
        <v>332</v>
      </c>
      <c r="AU324" s="164">
        <v>1</v>
      </c>
      <c r="AV324" s="29">
        <v>1</v>
      </c>
      <c r="AW324" s="29">
        <v>1</v>
      </c>
      <c r="AX324" s="29">
        <v>1</v>
      </c>
      <c r="AY324" s="184">
        <v>1</v>
      </c>
      <c r="BA324" s="44" t="str">
        <f t="shared" ca="1" si="43"/>
        <v>NGT_TO</v>
      </c>
      <c r="BB324" s="44" t="str">
        <f t="shared" si="44"/>
        <v>Fixed Inputs</v>
      </c>
      <c r="BC324" s="44" t="str">
        <f t="shared" si="45"/>
        <v>Variant allowances</v>
      </c>
      <c r="BD324" s="44" t="str">
        <f t="shared" si="46"/>
        <v>Totex variant allowances allocation percentages</v>
      </c>
    </row>
    <row r="325" spans="5:56">
      <c r="E325" s="212" t="str" cm="1">
        <f t="array" ref="E325">INDEX($E$128:$E$170,INT((ROW()-ROW($E$173))/6)+1)</f>
        <v>Gas strategic planning re-opener</v>
      </c>
      <c r="G325" s="43" t="s">
        <v>33</v>
      </c>
      <c r="H325" s="43" t="s">
        <v>333</v>
      </c>
      <c r="AU325" s="164">
        <v>0</v>
      </c>
      <c r="AV325" s="29">
        <v>0</v>
      </c>
      <c r="AW325" s="29">
        <v>0</v>
      </c>
      <c r="AX325" s="29">
        <v>0</v>
      </c>
      <c r="AY325" s="184">
        <v>0</v>
      </c>
      <c r="BA325" s="44" t="str">
        <f t="shared" ca="1" si="43"/>
        <v>NGT_TO</v>
      </c>
      <c r="BB325" s="44" t="str">
        <f t="shared" si="44"/>
        <v>Fixed Inputs</v>
      </c>
      <c r="BC325" s="44" t="str">
        <f t="shared" si="45"/>
        <v>Variant allowances</v>
      </c>
      <c r="BD325" s="44" t="str">
        <f t="shared" si="46"/>
        <v>Totex variant allowances allocation percentages</v>
      </c>
    </row>
    <row r="326" spans="5:56">
      <c r="E326" s="212" t="str" cm="1">
        <f t="array" ref="E326">INDEX($E$128:$E$170,INT((ROW()-ROW($E$173))/6)+1)</f>
        <v>Gas strategic planning re-opener</v>
      </c>
      <c r="G326" s="43" t="s">
        <v>33</v>
      </c>
      <c r="H326" s="43" t="s">
        <v>275</v>
      </c>
      <c r="AU326" s="164">
        <v>0</v>
      </c>
      <c r="AV326" s="29">
        <v>0</v>
      </c>
      <c r="AW326" s="29">
        <v>0</v>
      </c>
      <c r="AX326" s="29">
        <v>0</v>
      </c>
      <c r="AY326" s="184">
        <v>0</v>
      </c>
      <c r="BA326" s="44" t="str">
        <f t="shared" ca="1" si="43"/>
        <v>NGT_TO</v>
      </c>
      <c r="BB326" s="44" t="str">
        <f t="shared" si="44"/>
        <v>Fixed Inputs</v>
      </c>
      <c r="BC326" s="44" t="str">
        <f t="shared" si="45"/>
        <v>Variant allowances</v>
      </c>
      <c r="BD326" s="44" t="str">
        <f t="shared" si="46"/>
        <v>Totex variant allowances allocation percentages</v>
      </c>
    </row>
    <row r="327" spans="5:56">
      <c r="E327" s="212" t="str" cm="1">
        <f t="array" ref="E327">INDEX($E$128:$E$170,INT((ROW()-ROW($E$173))/6)+1)</f>
        <v>Gas strategic planning re-opener</v>
      </c>
      <c r="G327" s="43" t="s">
        <v>33</v>
      </c>
      <c r="H327" s="43" t="s">
        <v>273</v>
      </c>
      <c r="AU327" s="164">
        <v>0</v>
      </c>
      <c r="AV327" s="29">
        <v>0</v>
      </c>
      <c r="AW327" s="29">
        <v>0</v>
      </c>
      <c r="AX327" s="29">
        <v>0</v>
      </c>
      <c r="AY327" s="184">
        <v>0</v>
      </c>
      <c r="BA327" s="44" t="str">
        <f t="shared" ca="1" si="43"/>
        <v>NGT_TO</v>
      </c>
      <c r="BB327" s="44" t="str">
        <f t="shared" si="44"/>
        <v>Fixed Inputs</v>
      </c>
      <c r="BC327" s="44" t="str">
        <f t="shared" si="45"/>
        <v>Variant allowances</v>
      </c>
      <c r="BD327" s="44" t="str">
        <f t="shared" si="46"/>
        <v>Totex variant allowances allocation percentages</v>
      </c>
    </row>
    <row r="328" spans="5:56">
      <c r="E328" s="201" t="str" cm="1">
        <f t="array" ref="E328">INDEX($E$128:$E$170,INT((ROW()-ROW($E$173))/6)+1)</f>
        <v>Gas strategic planning re-opener</v>
      </c>
      <c r="F328" s="202"/>
      <c r="G328" s="202" t="s">
        <v>33</v>
      </c>
      <c r="H328" s="202" t="s">
        <v>274</v>
      </c>
      <c r="I328" s="202"/>
      <c r="J328" s="202"/>
      <c r="K328" s="202"/>
      <c r="L328" s="202"/>
      <c r="M328" s="202"/>
      <c r="N328" s="202"/>
      <c r="O328" s="202"/>
      <c r="P328" s="202"/>
      <c r="Q328" s="202"/>
      <c r="R328" s="202"/>
      <c r="S328" s="202"/>
      <c r="T328" s="202"/>
      <c r="U328" s="202"/>
      <c r="V328" s="202"/>
      <c r="W328" s="202"/>
      <c r="X328" s="202"/>
      <c r="Y328" s="202"/>
      <c r="Z328" s="202"/>
      <c r="AA328" s="202"/>
      <c r="AB328" s="202"/>
      <c r="AC328" s="202"/>
      <c r="AD328" s="202"/>
      <c r="AE328" s="202"/>
      <c r="AF328" s="202"/>
      <c r="AG328" s="202"/>
      <c r="AH328" s="202"/>
      <c r="AI328" s="202"/>
      <c r="AJ328" s="202"/>
      <c r="AK328" s="202"/>
      <c r="AL328" s="202"/>
      <c r="AM328" s="202"/>
      <c r="AN328" s="202"/>
      <c r="AO328" s="202"/>
      <c r="AP328" s="202"/>
      <c r="AQ328" s="202"/>
      <c r="AR328" s="202"/>
      <c r="AS328" s="202"/>
      <c r="AT328" s="203"/>
      <c r="AU328" s="204">
        <v>0</v>
      </c>
      <c r="AV328" s="205">
        <v>0</v>
      </c>
      <c r="AW328" s="205">
        <v>0</v>
      </c>
      <c r="AX328" s="205">
        <v>0</v>
      </c>
      <c r="AY328" s="206">
        <v>0</v>
      </c>
      <c r="BA328" s="44" t="str">
        <f t="shared" ca="1" si="43"/>
        <v>NGT_TO</v>
      </c>
      <c r="BB328" s="44" t="str">
        <f t="shared" si="44"/>
        <v>Fixed Inputs</v>
      </c>
      <c r="BC328" s="44" t="str">
        <f t="shared" si="45"/>
        <v>Variant allowances</v>
      </c>
      <c r="BD328" s="44" t="str">
        <f t="shared" si="46"/>
        <v>Totex variant allowances allocation percentages</v>
      </c>
    </row>
    <row r="329" spans="5:56">
      <c r="E329" s="195" t="str" cm="1">
        <f t="array" ref="E329">INDEX($E$128:$E$170,INT((ROW()-ROW($E$173))/6)+1)</f>
        <v>Office and Gas National Control Centre and Emergency Control Room Relocation Re-opener</v>
      </c>
      <c r="F329" s="196"/>
      <c r="G329" s="196" t="s">
        <v>33</v>
      </c>
      <c r="H329" s="196" t="s">
        <v>331</v>
      </c>
      <c r="I329" s="196"/>
      <c r="J329" s="196"/>
      <c r="K329" s="196"/>
      <c r="L329" s="196"/>
      <c r="M329" s="196"/>
      <c r="N329" s="196"/>
      <c r="O329" s="196"/>
      <c r="P329" s="196"/>
      <c r="Q329" s="196"/>
      <c r="R329" s="196"/>
      <c r="S329" s="196"/>
      <c r="T329" s="196"/>
      <c r="U329" s="196"/>
      <c r="V329" s="196"/>
      <c r="W329" s="196"/>
      <c r="X329" s="196"/>
      <c r="Y329" s="196"/>
      <c r="Z329" s="196"/>
      <c r="AA329" s="196"/>
      <c r="AB329" s="196"/>
      <c r="AC329" s="196"/>
      <c r="AD329" s="196"/>
      <c r="AE329" s="196"/>
      <c r="AF329" s="196"/>
      <c r="AG329" s="196"/>
      <c r="AH329" s="196"/>
      <c r="AI329" s="196"/>
      <c r="AJ329" s="196"/>
      <c r="AK329" s="196"/>
      <c r="AL329" s="196"/>
      <c r="AM329" s="196"/>
      <c r="AN329" s="196"/>
      <c r="AO329" s="196"/>
      <c r="AP329" s="196"/>
      <c r="AQ329" s="196"/>
      <c r="AR329" s="196"/>
      <c r="AS329" s="196"/>
      <c r="AT329" s="197"/>
      <c r="AU329" s="198">
        <v>0</v>
      </c>
      <c r="AV329" s="199">
        <v>0</v>
      </c>
      <c r="AW329" s="199">
        <v>0</v>
      </c>
      <c r="AX329" s="199">
        <v>0</v>
      </c>
      <c r="AY329" s="200">
        <v>0</v>
      </c>
      <c r="BA329" s="44" t="str">
        <f t="shared" ca="1" si="43"/>
        <v>NGT_TO</v>
      </c>
      <c r="BB329" s="44" t="str">
        <f t="shared" si="44"/>
        <v>Fixed Inputs</v>
      </c>
      <c r="BC329" s="44" t="str">
        <f t="shared" si="45"/>
        <v>Variant allowances</v>
      </c>
      <c r="BD329" s="44" t="str">
        <f t="shared" si="46"/>
        <v>Totex variant allowances allocation percentages</v>
      </c>
    </row>
    <row r="330" spans="5:56">
      <c r="E330" s="212" t="str" cm="1">
        <f t="array" ref="E330">INDEX($E$128:$E$170,INT((ROW()-ROW($E$173))/6)+1)</f>
        <v>Office and Gas National Control Centre and Emergency Control Room Relocation Re-opener</v>
      </c>
      <c r="G330" s="43" t="s">
        <v>33</v>
      </c>
      <c r="H330" s="43" t="s">
        <v>332</v>
      </c>
      <c r="AU330" s="164">
        <v>0</v>
      </c>
      <c r="AV330" s="29">
        <v>0</v>
      </c>
      <c r="AW330" s="29">
        <v>0</v>
      </c>
      <c r="AX330" s="29">
        <v>0</v>
      </c>
      <c r="AY330" s="184">
        <v>0</v>
      </c>
      <c r="BA330" s="44" t="str">
        <f t="shared" ca="1" si="43"/>
        <v>NGT_TO</v>
      </c>
      <c r="BB330" s="44" t="str">
        <f t="shared" si="44"/>
        <v>Fixed Inputs</v>
      </c>
      <c r="BC330" s="44" t="str">
        <f t="shared" si="45"/>
        <v>Variant allowances</v>
      </c>
      <c r="BD330" s="44" t="str">
        <f t="shared" si="46"/>
        <v>Totex variant allowances allocation percentages</v>
      </c>
    </row>
    <row r="331" spans="5:56">
      <c r="E331" s="212" t="str" cm="1">
        <f t="array" ref="E331">INDEX($E$128:$E$170,INT((ROW()-ROW($E$173))/6)+1)</f>
        <v>Office and Gas National Control Centre and Emergency Control Room Relocation Re-opener</v>
      </c>
      <c r="G331" s="43" t="s">
        <v>33</v>
      </c>
      <c r="H331" s="43" t="s">
        <v>333</v>
      </c>
      <c r="AU331" s="164">
        <v>0</v>
      </c>
      <c r="AV331" s="29">
        <v>0</v>
      </c>
      <c r="AW331" s="29">
        <v>0</v>
      </c>
      <c r="AX331" s="29">
        <v>0</v>
      </c>
      <c r="AY331" s="184">
        <v>0</v>
      </c>
      <c r="BA331" s="44" t="str">
        <f t="shared" ca="1" si="43"/>
        <v>NGT_TO</v>
      </c>
      <c r="BB331" s="44" t="str">
        <f t="shared" si="44"/>
        <v>Fixed Inputs</v>
      </c>
      <c r="BC331" s="44" t="str">
        <f t="shared" si="45"/>
        <v>Variant allowances</v>
      </c>
      <c r="BD331" s="44" t="str">
        <f t="shared" si="46"/>
        <v>Totex variant allowances allocation percentages</v>
      </c>
    </row>
    <row r="332" spans="5:56">
      <c r="E332" s="212" t="str" cm="1">
        <f t="array" ref="E332">INDEX($E$128:$E$170,INT((ROW()-ROW($E$173))/6)+1)</f>
        <v>Office and Gas National Control Centre and Emergency Control Room Relocation Re-opener</v>
      </c>
      <c r="G332" s="43" t="s">
        <v>33</v>
      </c>
      <c r="H332" s="43" t="s">
        <v>275</v>
      </c>
      <c r="AU332" s="164">
        <v>1</v>
      </c>
      <c r="AV332" s="29">
        <v>1</v>
      </c>
      <c r="AW332" s="29">
        <v>0.98761166238074205</v>
      </c>
      <c r="AX332" s="29">
        <v>0.65655674699725997</v>
      </c>
      <c r="AY332" s="29">
        <v>0.14489659464143473</v>
      </c>
      <c r="BA332" s="44" t="str">
        <f t="shared" ca="1" si="43"/>
        <v>NGT_TO</v>
      </c>
      <c r="BB332" s="44" t="str">
        <f t="shared" si="44"/>
        <v>Fixed Inputs</v>
      </c>
      <c r="BC332" s="44" t="str">
        <f t="shared" si="45"/>
        <v>Variant allowances</v>
      </c>
      <c r="BD332" s="44" t="str">
        <f t="shared" si="46"/>
        <v>Totex variant allowances allocation percentages</v>
      </c>
    </row>
    <row r="333" spans="5:56">
      <c r="E333" s="212" t="str" cm="1">
        <f t="array" ref="E333">INDEX($E$128:$E$170,INT((ROW()-ROW($E$173))/6)+1)</f>
        <v>Office and Gas National Control Centre and Emergency Control Room Relocation Re-opener</v>
      </c>
      <c r="G333" s="43" t="s">
        <v>33</v>
      </c>
      <c r="H333" s="43" t="s">
        <v>273</v>
      </c>
      <c r="AU333" s="164">
        <v>0</v>
      </c>
      <c r="AV333" s="29">
        <v>0</v>
      </c>
      <c r="AW333" s="29">
        <v>0</v>
      </c>
      <c r="AX333" s="29">
        <v>0</v>
      </c>
      <c r="AY333" s="184">
        <v>0</v>
      </c>
      <c r="BA333" s="44" t="str">
        <f t="shared" ca="1" si="43"/>
        <v>NGT_TO</v>
      </c>
      <c r="BB333" s="44" t="str">
        <f t="shared" ref="BB333:BB430" si="47">$A$125</f>
        <v>Fixed Inputs</v>
      </c>
      <c r="BC333" s="44" t="str">
        <f t="shared" si="45"/>
        <v>Variant allowances</v>
      </c>
      <c r="BD333" s="44" t="str">
        <f t="shared" ref="BD333:BD430" si="48">$C$172</f>
        <v>Totex variant allowances allocation percentages</v>
      </c>
    </row>
    <row r="334" spans="5:56">
      <c r="E334" s="212" t="str" cm="1">
        <f t="array" ref="E334">INDEX($E$128:$E$170,INT((ROW()-ROW($E$173))/6)+1)</f>
        <v>Office and Gas National Control Centre and Emergency Control Room Relocation Re-opener</v>
      </c>
      <c r="G334" s="43" t="s">
        <v>33</v>
      </c>
      <c r="H334" s="43" t="s">
        <v>274</v>
      </c>
      <c r="AU334" s="255">
        <v>0</v>
      </c>
      <c r="AV334" s="250">
        <v>0</v>
      </c>
      <c r="AW334" s="250">
        <v>1.2388337619257872E-2</v>
      </c>
      <c r="AX334" s="250">
        <v>0.34344325300273998</v>
      </c>
      <c r="AY334" s="251">
        <v>0.85510340535856522</v>
      </c>
      <c r="BA334" s="44" t="str">
        <f t="shared" ca="1" si="43"/>
        <v>NGT_TO</v>
      </c>
      <c r="BB334" s="44" t="str">
        <f t="shared" si="47"/>
        <v>Fixed Inputs</v>
      </c>
      <c r="BC334" s="44" t="str">
        <f t="shared" si="45"/>
        <v>Variant allowances</v>
      </c>
      <c r="BD334" s="44" t="str">
        <f t="shared" si="48"/>
        <v>Totex variant allowances allocation percentages</v>
      </c>
    </row>
    <row r="335" spans="5:56">
      <c r="E335" s="195" t="str" cm="1">
        <f t="array" ref="E335">INDEX($E$128:$E$170,INT((ROW()-ROW($E$173))/6)+1)</f>
        <v>Network capability re-opener</v>
      </c>
      <c r="F335" s="196"/>
      <c r="G335" s="196" t="s">
        <v>33</v>
      </c>
      <c r="H335" s="196" t="s">
        <v>331</v>
      </c>
      <c r="I335" s="196"/>
      <c r="J335" s="196"/>
      <c r="K335" s="196"/>
      <c r="L335" s="196"/>
      <c r="M335" s="196"/>
      <c r="N335" s="196"/>
      <c r="O335" s="196"/>
      <c r="P335" s="196"/>
      <c r="Q335" s="196"/>
      <c r="R335" s="196"/>
      <c r="S335" s="196"/>
      <c r="T335" s="196"/>
      <c r="U335" s="196"/>
      <c r="V335" s="196"/>
      <c r="W335" s="196"/>
      <c r="X335" s="196"/>
      <c r="Y335" s="196"/>
      <c r="Z335" s="196"/>
      <c r="AA335" s="196"/>
      <c r="AB335" s="196"/>
      <c r="AC335" s="196"/>
      <c r="AD335" s="196"/>
      <c r="AE335" s="196"/>
      <c r="AF335" s="196"/>
      <c r="AG335" s="196"/>
      <c r="AH335" s="196"/>
      <c r="AI335" s="196"/>
      <c r="AJ335" s="196"/>
      <c r="AK335" s="196"/>
      <c r="AL335" s="196"/>
      <c r="AM335" s="196"/>
      <c r="AN335" s="196"/>
      <c r="AO335" s="196"/>
      <c r="AP335" s="196"/>
      <c r="AQ335" s="196"/>
      <c r="AR335" s="196"/>
      <c r="AS335" s="196"/>
      <c r="AT335" s="197"/>
      <c r="AU335" s="198">
        <v>0</v>
      </c>
      <c r="AV335" s="199">
        <v>0</v>
      </c>
      <c r="AW335" s="199">
        <v>0</v>
      </c>
      <c r="AX335" s="199">
        <v>0</v>
      </c>
      <c r="AY335" s="200">
        <v>0</v>
      </c>
      <c r="BA335" s="44" t="str">
        <f t="shared" ca="1" si="43"/>
        <v>NGT_TO</v>
      </c>
      <c r="BB335" s="44" t="str">
        <f t="shared" si="47"/>
        <v>Fixed Inputs</v>
      </c>
      <c r="BC335" s="44" t="str">
        <f t="shared" si="45"/>
        <v>Variant allowances</v>
      </c>
      <c r="BD335" s="44" t="str">
        <f t="shared" si="48"/>
        <v>Totex variant allowances allocation percentages</v>
      </c>
    </row>
    <row r="336" spans="5:56">
      <c r="E336" s="212" t="str" cm="1">
        <f t="array" ref="E336">INDEX($E$128:$E$170,INT((ROW()-ROW($E$173))/6)+1)</f>
        <v>Network capability re-opener</v>
      </c>
      <c r="G336" s="43" t="s">
        <v>33</v>
      </c>
      <c r="H336" s="43" t="s">
        <v>332</v>
      </c>
      <c r="AU336" s="164">
        <v>1</v>
      </c>
      <c r="AV336" s="29">
        <v>1</v>
      </c>
      <c r="AW336" s="29">
        <v>1</v>
      </c>
      <c r="AX336" s="29">
        <v>1</v>
      </c>
      <c r="AY336" s="184">
        <v>1</v>
      </c>
      <c r="BA336" s="44" t="str">
        <f t="shared" ca="1" si="43"/>
        <v>NGT_TO</v>
      </c>
      <c r="BB336" s="44" t="str">
        <f t="shared" si="47"/>
        <v>Fixed Inputs</v>
      </c>
      <c r="BC336" s="44" t="str">
        <f t="shared" si="45"/>
        <v>Variant allowances</v>
      </c>
      <c r="BD336" s="44" t="str">
        <f t="shared" si="48"/>
        <v>Totex variant allowances allocation percentages</v>
      </c>
    </row>
    <row r="337" spans="5:56">
      <c r="E337" s="212" t="str" cm="1">
        <f t="array" ref="E337">INDEX($E$128:$E$170,INT((ROW()-ROW($E$173))/6)+1)</f>
        <v>Network capability re-opener</v>
      </c>
      <c r="G337" s="43" t="s">
        <v>33</v>
      </c>
      <c r="H337" s="43" t="s">
        <v>333</v>
      </c>
      <c r="AU337" s="164">
        <v>0</v>
      </c>
      <c r="AV337" s="29">
        <v>0</v>
      </c>
      <c r="AW337" s="29">
        <v>0</v>
      </c>
      <c r="AX337" s="29">
        <v>0</v>
      </c>
      <c r="AY337" s="184">
        <v>0</v>
      </c>
      <c r="BA337" s="44" t="str">
        <f t="shared" ca="1" si="43"/>
        <v>NGT_TO</v>
      </c>
      <c r="BB337" s="44" t="str">
        <f t="shared" si="47"/>
        <v>Fixed Inputs</v>
      </c>
      <c r="BC337" s="44" t="str">
        <f t="shared" si="45"/>
        <v>Variant allowances</v>
      </c>
      <c r="BD337" s="44" t="str">
        <f t="shared" si="48"/>
        <v>Totex variant allowances allocation percentages</v>
      </c>
    </row>
    <row r="338" spans="5:56">
      <c r="E338" s="212" t="str" cm="1">
        <f t="array" ref="E338">INDEX($E$128:$E$170,INT((ROW()-ROW($E$173))/6)+1)</f>
        <v>Network capability re-opener</v>
      </c>
      <c r="G338" s="43" t="s">
        <v>33</v>
      </c>
      <c r="H338" s="43" t="s">
        <v>275</v>
      </c>
      <c r="AU338" s="164">
        <v>0</v>
      </c>
      <c r="AV338" s="29">
        <v>0</v>
      </c>
      <c r="AW338" s="29">
        <v>0</v>
      </c>
      <c r="AX338" s="29">
        <v>0</v>
      </c>
      <c r="AY338" s="184">
        <v>0</v>
      </c>
      <c r="BA338" s="44" t="str">
        <f t="shared" ref="BA338:BA554" ca="1" si="49">$A$1</f>
        <v>NGT_TO</v>
      </c>
      <c r="BB338" s="44" t="str">
        <f t="shared" si="47"/>
        <v>Fixed Inputs</v>
      </c>
      <c r="BC338" s="44" t="str">
        <f t="shared" si="45"/>
        <v>Variant allowances</v>
      </c>
      <c r="BD338" s="44" t="str">
        <f t="shared" si="48"/>
        <v>Totex variant allowances allocation percentages</v>
      </c>
    </row>
    <row r="339" spans="5:56">
      <c r="E339" s="212" t="str" cm="1">
        <f t="array" ref="E339">INDEX($E$128:$E$170,INT((ROW()-ROW($E$173))/6)+1)</f>
        <v>Network capability re-opener</v>
      </c>
      <c r="G339" s="43" t="s">
        <v>33</v>
      </c>
      <c r="H339" s="43" t="s">
        <v>273</v>
      </c>
      <c r="AU339" s="164">
        <v>0</v>
      </c>
      <c r="AV339" s="29">
        <v>0</v>
      </c>
      <c r="AW339" s="29">
        <v>0</v>
      </c>
      <c r="AX339" s="29">
        <v>0</v>
      </c>
      <c r="AY339" s="184">
        <v>0</v>
      </c>
      <c r="BA339" s="44" t="str">
        <f t="shared" ca="1" si="49"/>
        <v>NGT_TO</v>
      </c>
      <c r="BB339" s="44" t="str">
        <f t="shared" si="47"/>
        <v>Fixed Inputs</v>
      </c>
      <c r="BC339" s="44" t="str">
        <f t="shared" si="45"/>
        <v>Variant allowances</v>
      </c>
      <c r="BD339" s="44" t="str">
        <f t="shared" si="48"/>
        <v>Totex variant allowances allocation percentages</v>
      </c>
    </row>
    <row r="340" spans="5:56">
      <c r="E340" s="212" t="str" cm="1">
        <f t="array" ref="E340">INDEX($E$128:$E$170,INT((ROW()-ROW($E$173))/6)+1)</f>
        <v>Network capability re-opener</v>
      </c>
      <c r="G340" s="43" t="s">
        <v>33</v>
      </c>
      <c r="H340" s="43" t="s">
        <v>274</v>
      </c>
      <c r="AU340" s="255">
        <v>0</v>
      </c>
      <c r="AV340" s="250">
        <v>0</v>
      </c>
      <c r="AW340" s="250">
        <v>0</v>
      </c>
      <c r="AX340" s="250">
        <v>0</v>
      </c>
      <c r="AY340" s="251">
        <v>0</v>
      </c>
      <c r="BA340" s="44" t="str">
        <f t="shared" ca="1" si="49"/>
        <v>NGT_TO</v>
      </c>
      <c r="BB340" s="44" t="str">
        <f t="shared" si="47"/>
        <v>Fixed Inputs</v>
      </c>
      <c r="BC340" s="44" t="str">
        <f t="shared" si="45"/>
        <v>Variant allowances</v>
      </c>
      <c r="BD340" s="44" t="str">
        <f t="shared" si="48"/>
        <v>Totex variant allowances allocation percentages</v>
      </c>
    </row>
    <row r="341" spans="5:56">
      <c r="E341" s="195" t="str" cm="1">
        <f t="array" ref="E341">INDEX($E$128:$E$170,INT((ROW()-ROW($E$173))/6)+1)</f>
        <v>Bacton Enhanced Filtration re-opener</v>
      </c>
      <c r="F341" s="196"/>
      <c r="G341" s="196" t="s">
        <v>33</v>
      </c>
      <c r="H341" s="196" t="s">
        <v>331</v>
      </c>
      <c r="I341" s="196"/>
      <c r="J341" s="196"/>
      <c r="K341" s="196"/>
      <c r="L341" s="196"/>
      <c r="M341" s="196"/>
      <c r="N341" s="196"/>
      <c r="O341" s="196"/>
      <c r="P341" s="196"/>
      <c r="Q341" s="196"/>
      <c r="R341" s="196"/>
      <c r="S341" s="196"/>
      <c r="T341" s="196"/>
      <c r="U341" s="196"/>
      <c r="V341" s="196"/>
      <c r="W341" s="196"/>
      <c r="X341" s="196"/>
      <c r="Y341" s="196"/>
      <c r="Z341" s="196"/>
      <c r="AA341" s="196"/>
      <c r="AB341" s="196"/>
      <c r="AC341" s="196"/>
      <c r="AD341" s="196"/>
      <c r="AE341" s="196"/>
      <c r="AF341" s="196"/>
      <c r="AG341" s="196"/>
      <c r="AH341" s="196"/>
      <c r="AI341" s="196"/>
      <c r="AJ341" s="196"/>
      <c r="AK341" s="196"/>
      <c r="AL341" s="196"/>
      <c r="AM341" s="196"/>
      <c r="AN341" s="196"/>
      <c r="AO341" s="196"/>
      <c r="AP341" s="196"/>
      <c r="AQ341" s="196"/>
      <c r="AR341" s="196"/>
      <c r="AS341" s="196"/>
      <c r="AT341" s="197"/>
      <c r="AU341" s="198">
        <v>0</v>
      </c>
      <c r="AV341" s="199">
        <v>0</v>
      </c>
      <c r="AW341" s="199">
        <v>0</v>
      </c>
      <c r="AX341" s="199">
        <v>0</v>
      </c>
      <c r="AY341" s="200">
        <v>0</v>
      </c>
      <c r="BA341" s="44" t="str">
        <f t="shared" ca="1" si="49"/>
        <v>NGT_TO</v>
      </c>
      <c r="BB341" s="44" t="str">
        <f t="shared" si="47"/>
        <v>Fixed Inputs</v>
      </c>
      <c r="BC341" s="44" t="str">
        <f t="shared" si="45"/>
        <v>Variant allowances</v>
      </c>
      <c r="BD341" s="44" t="str">
        <f t="shared" si="48"/>
        <v>Totex variant allowances allocation percentages</v>
      </c>
    </row>
    <row r="342" spans="5:56">
      <c r="E342" s="212" t="str" cm="1">
        <f t="array" ref="E342">INDEX($E$128:$E$170,INT((ROW()-ROW($E$173))/6)+1)</f>
        <v>Bacton Enhanced Filtration re-opener</v>
      </c>
      <c r="G342" s="43" t="s">
        <v>33</v>
      </c>
      <c r="H342" s="43" t="s">
        <v>332</v>
      </c>
      <c r="AU342" s="164">
        <v>0</v>
      </c>
      <c r="AV342" s="29">
        <v>0</v>
      </c>
      <c r="AW342" s="29">
        <v>0</v>
      </c>
      <c r="AX342" s="29">
        <v>0</v>
      </c>
      <c r="AY342" s="184">
        <v>0</v>
      </c>
      <c r="BA342" s="44" t="str">
        <f t="shared" ca="1" si="49"/>
        <v>NGT_TO</v>
      </c>
      <c r="BB342" s="44" t="str">
        <f t="shared" si="47"/>
        <v>Fixed Inputs</v>
      </c>
      <c r="BC342" s="44" t="str">
        <f t="shared" si="45"/>
        <v>Variant allowances</v>
      </c>
      <c r="BD342" s="44" t="str">
        <f t="shared" si="48"/>
        <v>Totex variant allowances allocation percentages</v>
      </c>
    </row>
    <row r="343" spans="5:56">
      <c r="E343" s="212" t="str" cm="1">
        <f t="array" ref="E343">INDEX($E$128:$E$170,INT((ROW()-ROW($E$173))/6)+1)</f>
        <v>Bacton Enhanced Filtration re-opener</v>
      </c>
      <c r="G343" s="43" t="s">
        <v>33</v>
      </c>
      <c r="H343" s="43" t="s">
        <v>333</v>
      </c>
      <c r="AU343" s="164">
        <v>0</v>
      </c>
      <c r="AV343" s="29">
        <v>0</v>
      </c>
      <c r="AW343" s="29">
        <v>0</v>
      </c>
      <c r="AX343" s="29">
        <v>0</v>
      </c>
      <c r="AY343" s="184">
        <v>0</v>
      </c>
      <c r="BA343" s="44" t="str">
        <f t="shared" ca="1" si="49"/>
        <v>NGT_TO</v>
      </c>
      <c r="BB343" s="44" t="str">
        <f t="shared" si="47"/>
        <v>Fixed Inputs</v>
      </c>
      <c r="BC343" s="44" t="str">
        <f t="shared" si="45"/>
        <v>Variant allowances</v>
      </c>
      <c r="BD343" s="44" t="str">
        <f t="shared" si="48"/>
        <v>Totex variant allowances allocation percentages</v>
      </c>
    </row>
    <row r="344" spans="5:56">
      <c r="E344" s="212" t="str" cm="1">
        <f t="array" ref="E344">INDEX($E$128:$E$170,INT((ROW()-ROW($E$173))/6)+1)</f>
        <v>Bacton Enhanced Filtration re-opener</v>
      </c>
      <c r="G344" s="43" t="s">
        <v>33</v>
      </c>
      <c r="H344" s="43" t="s">
        <v>275</v>
      </c>
      <c r="AU344" s="164">
        <v>0</v>
      </c>
      <c r="AV344" s="29">
        <v>0</v>
      </c>
      <c r="AW344" s="29">
        <v>0</v>
      </c>
      <c r="AX344" s="29">
        <v>0</v>
      </c>
      <c r="AY344" s="184">
        <v>0</v>
      </c>
      <c r="BA344" s="44" t="str">
        <f t="shared" ca="1" si="49"/>
        <v>NGT_TO</v>
      </c>
      <c r="BB344" s="44" t="str">
        <f t="shared" si="47"/>
        <v>Fixed Inputs</v>
      </c>
      <c r="BC344" s="44" t="str">
        <f t="shared" si="45"/>
        <v>Variant allowances</v>
      </c>
      <c r="BD344" s="44" t="str">
        <f t="shared" si="48"/>
        <v>Totex variant allowances allocation percentages</v>
      </c>
    </row>
    <row r="345" spans="5:56">
      <c r="E345" s="212" t="str" cm="1">
        <f t="array" ref="E345">INDEX($E$128:$E$170,INT((ROW()-ROW($E$173))/6)+1)</f>
        <v>Bacton Enhanced Filtration re-opener</v>
      </c>
      <c r="G345" s="43" t="s">
        <v>33</v>
      </c>
      <c r="H345" s="43" t="s">
        <v>273</v>
      </c>
      <c r="AU345" s="164">
        <v>0</v>
      </c>
      <c r="AV345" s="29">
        <v>0</v>
      </c>
      <c r="AW345" s="29">
        <v>0</v>
      </c>
      <c r="AX345" s="29">
        <v>0</v>
      </c>
      <c r="AY345" s="184">
        <v>0</v>
      </c>
      <c r="BA345" s="44" t="str">
        <f t="shared" ca="1" si="49"/>
        <v>NGT_TO</v>
      </c>
      <c r="BB345" s="44" t="str">
        <f t="shared" si="47"/>
        <v>Fixed Inputs</v>
      </c>
      <c r="BC345" s="44" t="str">
        <f t="shared" si="45"/>
        <v>Variant allowances</v>
      </c>
      <c r="BD345" s="44" t="str">
        <f t="shared" si="48"/>
        <v>Totex variant allowances allocation percentages</v>
      </c>
    </row>
    <row r="346" spans="5:56">
      <c r="E346" s="212" t="str" cm="1">
        <f t="array" ref="E346">INDEX($E$128:$E$170,INT((ROW()-ROW($E$173))/6)+1)</f>
        <v>Bacton Enhanced Filtration re-opener</v>
      </c>
      <c r="G346" s="43" t="s">
        <v>33</v>
      </c>
      <c r="H346" s="43" t="s">
        <v>274</v>
      </c>
      <c r="AU346" s="255">
        <v>0</v>
      </c>
      <c r="AV346" s="250">
        <v>0</v>
      </c>
      <c r="AW346" s="250">
        <v>0</v>
      </c>
      <c r="AX346" s="250">
        <v>0</v>
      </c>
      <c r="AY346" s="251">
        <v>0</v>
      </c>
      <c r="BA346" s="44" t="str">
        <f t="shared" ca="1" si="49"/>
        <v>NGT_TO</v>
      </c>
      <c r="BB346" s="44" t="str">
        <f t="shared" si="47"/>
        <v>Fixed Inputs</v>
      </c>
      <c r="BC346" s="44" t="str">
        <f t="shared" si="45"/>
        <v>Variant allowances</v>
      </c>
      <c r="BD346" s="44" t="str">
        <f t="shared" si="48"/>
        <v>Totex variant allowances allocation percentages</v>
      </c>
    </row>
    <row r="347" spans="5:56">
      <c r="E347" s="195" t="str" cm="1">
        <f t="array" ref="E347">INDEX($E$128:$E$170,INT((ROW()-ROW($E$173))/6)+1)</f>
        <v>Network decarbonisation and emissions compliance Re-opener</v>
      </c>
      <c r="F347" s="196"/>
      <c r="G347" s="196" t="s">
        <v>33</v>
      </c>
      <c r="H347" s="196" t="s">
        <v>331</v>
      </c>
      <c r="I347" s="196"/>
      <c r="J347" s="196"/>
      <c r="K347" s="196"/>
      <c r="L347" s="196"/>
      <c r="M347" s="196"/>
      <c r="N347" s="196"/>
      <c r="O347" s="196"/>
      <c r="P347" s="196"/>
      <c r="Q347" s="196"/>
      <c r="R347" s="196"/>
      <c r="S347" s="196"/>
      <c r="T347" s="196"/>
      <c r="U347" s="196"/>
      <c r="V347" s="196"/>
      <c r="W347" s="196"/>
      <c r="X347" s="196"/>
      <c r="Y347" s="196"/>
      <c r="Z347" s="196"/>
      <c r="AA347" s="196"/>
      <c r="AB347" s="196"/>
      <c r="AC347" s="196"/>
      <c r="AD347" s="196"/>
      <c r="AE347" s="196"/>
      <c r="AF347" s="196"/>
      <c r="AG347" s="196"/>
      <c r="AH347" s="196"/>
      <c r="AI347" s="196"/>
      <c r="AJ347" s="196"/>
      <c r="AK347" s="196"/>
      <c r="AL347" s="196"/>
      <c r="AM347" s="196"/>
      <c r="AN347" s="196"/>
      <c r="AO347" s="196"/>
      <c r="AP347" s="196"/>
      <c r="AQ347" s="196"/>
      <c r="AR347" s="196"/>
      <c r="AS347" s="196"/>
      <c r="AT347" s="197"/>
      <c r="AU347" s="198">
        <v>0</v>
      </c>
      <c r="AV347" s="199">
        <v>0</v>
      </c>
      <c r="AW347" s="199">
        <v>0</v>
      </c>
      <c r="AX347" s="199">
        <v>0</v>
      </c>
      <c r="AY347" s="200">
        <v>0</v>
      </c>
      <c r="BA347" s="44" t="str">
        <f t="shared" ca="1" si="49"/>
        <v>NGT_TO</v>
      </c>
      <c r="BB347" s="44" t="str">
        <f t="shared" si="47"/>
        <v>Fixed Inputs</v>
      </c>
      <c r="BC347" s="44" t="str">
        <f t="shared" si="45"/>
        <v>Variant allowances</v>
      </c>
      <c r="BD347" s="44" t="str">
        <f t="shared" si="48"/>
        <v>Totex variant allowances allocation percentages</v>
      </c>
    </row>
    <row r="348" spans="5:56">
      <c r="E348" s="212" t="str" cm="1">
        <f t="array" ref="E348">INDEX($E$128:$E$170,INT((ROW()-ROW($E$173))/6)+1)</f>
        <v>Network decarbonisation and emissions compliance Re-opener</v>
      </c>
      <c r="G348" s="43" t="s">
        <v>33</v>
      </c>
      <c r="H348" s="43" t="s">
        <v>332</v>
      </c>
      <c r="AU348" s="164">
        <v>0</v>
      </c>
      <c r="AV348" s="29">
        <v>0</v>
      </c>
      <c r="AW348" s="29">
        <v>0</v>
      </c>
      <c r="AX348" s="29">
        <v>0</v>
      </c>
      <c r="AY348" s="184">
        <v>0</v>
      </c>
      <c r="BA348" s="44" t="str">
        <f t="shared" ca="1" si="49"/>
        <v>NGT_TO</v>
      </c>
      <c r="BB348" s="44" t="str">
        <f t="shared" si="47"/>
        <v>Fixed Inputs</v>
      </c>
      <c r="BC348" s="44" t="str">
        <f t="shared" si="45"/>
        <v>Variant allowances</v>
      </c>
      <c r="BD348" s="44" t="str">
        <f t="shared" si="48"/>
        <v>Totex variant allowances allocation percentages</v>
      </c>
    </row>
    <row r="349" spans="5:56">
      <c r="E349" s="212" t="str" cm="1">
        <f t="array" ref="E349">INDEX($E$128:$E$170,INT((ROW()-ROW($E$173))/6)+1)</f>
        <v>Network decarbonisation and emissions compliance Re-opener</v>
      </c>
      <c r="G349" s="43" t="s">
        <v>33</v>
      </c>
      <c r="H349" s="43" t="s">
        <v>333</v>
      </c>
      <c r="AU349" s="164">
        <v>0</v>
      </c>
      <c r="AV349" s="29">
        <v>0</v>
      </c>
      <c r="AW349" s="29">
        <v>0</v>
      </c>
      <c r="AX349" s="29">
        <v>0</v>
      </c>
      <c r="AY349" s="184">
        <v>0</v>
      </c>
      <c r="BA349" s="44" t="str">
        <f t="shared" ca="1" si="49"/>
        <v>NGT_TO</v>
      </c>
      <c r="BB349" s="44" t="str">
        <f t="shared" si="47"/>
        <v>Fixed Inputs</v>
      </c>
      <c r="BC349" s="44" t="str">
        <f t="shared" si="45"/>
        <v>Variant allowances</v>
      </c>
      <c r="BD349" s="44" t="str">
        <f t="shared" si="48"/>
        <v>Totex variant allowances allocation percentages</v>
      </c>
    </row>
    <row r="350" spans="5:56">
      <c r="E350" s="212" t="str" cm="1">
        <f t="array" ref="E350">INDEX($E$128:$E$170,INT((ROW()-ROW($E$173))/6)+1)</f>
        <v>Network decarbonisation and emissions compliance Re-opener</v>
      </c>
      <c r="G350" s="43" t="s">
        <v>33</v>
      </c>
      <c r="H350" s="43" t="s">
        <v>275</v>
      </c>
      <c r="AU350" s="164">
        <v>0</v>
      </c>
      <c r="AV350" s="29">
        <v>0</v>
      </c>
      <c r="AW350" s="29">
        <v>0</v>
      </c>
      <c r="AX350" s="29">
        <v>0</v>
      </c>
      <c r="AY350" s="184">
        <v>0</v>
      </c>
      <c r="BA350" s="44" t="str">
        <f t="shared" ca="1" si="49"/>
        <v>NGT_TO</v>
      </c>
      <c r="BB350" s="44" t="str">
        <f t="shared" si="47"/>
        <v>Fixed Inputs</v>
      </c>
      <c r="BC350" s="44" t="str">
        <f t="shared" si="45"/>
        <v>Variant allowances</v>
      </c>
      <c r="BD350" s="44" t="str">
        <f t="shared" si="48"/>
        <v>Totex variant allowances allocation percentages</v>
      </c>
    </row>
    <row r="351" spans="5:56">
      <c r="E351" s="212" t="str" cm="1">
        <f t="array" ref="E351">INDEX($E$128:$E$170,INT((ROW()-ROW($E$173))/6)+1)</f>
        <v>Network decarbonisation and emissions compliance Re-opener</v>
      </c>
      <c r="G351" s="43" t="s">
        <v>33</v>
      </c>
      <c r="H351" s="43" t="s">
        <v>273</v>
      </c>
      <c r="AU351" s="164">
        <v>0</v>
      </c>
      <c r="AV351" s="29">
        <v>0</v>
      </c>
      <c r="AW351" s="29">
        <v>0</v>
      </c>
      <c r="AX351" s="29">
        <v>0</v>
      </c>
      <c r="AY351" s="184">
        <v>0</v>
      </c>
      <c r="BA351" s="44" t="str">
        <f t="shared" ca="1" si="49"/>
        <v>NGT_TO</v>
      </c>
      <c r="BB351" s="44" t="str">
        <f t="shared" si="47"/>
        <v>Fixed Inputs</v>
      </c>
      <c r="BC351" s="44" t="str">
        <f t="shared" si="45"/>
        <v>Variant allowances</v>
      </c>
      <c r="BD351" s="44" t="str">
        <f t="shared" si="48"/>
        <v>Totex variant allowances allocation percentages</v>
      </c>
    </row>
    <row r="352" spans="5:56">
      <c r="E352" s="201" t="str" cm="1">
        <f t="array" ref="E352">INDEX($E$128:$E$170,INT((ROW()-ROW($E$173))/6)+1)</f>
        <v>Network decarbonisation and emissions compliance Re-opener</v>
      </c>
      <c r="F352" s="202"/>
      <c r="G352" s="202" t="s">
        <v>33</v>
      </c>
      <c r="H352" s="202" t="s">
        <v>274</v>
      </c>
      <c r="I352" s="202"/>
      <c r="J352" s="202"/>
      <c r="K352" s="202"/>
      <c r="L352" s="202"/>
      <c r="M352" s="202"/>
      <c r="N352" s="202"/>
      <c r="O352" s="202"/>
      <c r="P352" s="202"/>
      <c r="Q352" s="202"/>
      <c r="R352" s="202"/>
      <c r="S352" s="202"/>
      <c r="T352" s="202"/>
      <c r="U352" s="202"/>
      <c r="V352" s="202"/>
      <c r="W352" s="202"/>
      <c r="X352" s="202"/>
      <c r="Y352" s="202"/>
      <c r="Z352" s="202"/>
      <c r="AA352" s="202"/>
      <c r="AB352" s="202"/>
      <c r="AC352" s="202"/>
      <c r="AD352" s="202"/>
      <c r="AE352" s="202"/>
      <c r="AF352" s="202"/>
      <c r="AG352" s="202"/>
      <c r="AH352" s="202"/>
      <c r="AI352" s="202"/>
      <c r="AJ352" s="202"/>
      <c r="AK352" s="202"/>
      <c r="AL352" s="202"/>
      <c r="AM352" s="202"/>
      <c r="AN352" s="202"/>
      <c r="AO352" s="202"/>
      <c r="AP352" s="202"/>
      <c r="AQ352" s="202"/>
      <c r="AR352" s="202"/>
      <c r="AS352" s="202"/>
      <c r="AT352" s="203"/>
      <c r="AU352" s="204">
        <v>0</v>
      </c>
      <c r="AV352" s="205">
        <v>0</v>
      </c>
      <c r="AW352" s="205">
        <v>0</v>
      </c>
      <c r="AX352" s="205">
        <v>0</v>
      </c>
      <c r="AY352" s="206">
        <v>0</v>
      </c>
      <c r="BA352" s="44" t="str">
        <f t="shared" ca="1" si="49"/>
        <v>NGT_TO</v>
      </c>
      <c r="BB352" s="44" t="str">
        <f t="shared" si="47"/>
        <v>Fixed Inputs</v>
      </c>
      <c r="BC352" s="44" t="str">
        <f t="shared" si="45"/>
        <v>Variant allowances</v>
      </c>
      <c r="BD352" s="44" t="str">
        <f t="shared" si="48"/>
        <v>Totex variant allowances allocation percentages</v>
      </c>
    </row>
    <row r="353" spans="5:56">
      <c r="E353" s="212" t="str" cm="1">
        <f t="array" ref="E353">INDEX($E$128:$E$170,INT((ROW()-ROW($E$173))/6)+1)</f>
        <v>Compressor acoustic building replacement Price Control Deliverable</v>
      </c>
      <c r="G353" s="43" t="s">
        <v>33</v>
      </c>
      <c r="H353" s="43" t="s">
        <v>331</v>
      </c>
      <c r="AU353" s="207">
        <v>0</v>
      </c>
      <c r="AV353" s="208">
        <v>0</v>
      </c>
      <c r="AW353" s="208">
        <v>0</v>
      </c>
      <c r="AX353" s="208">
        <v>0</v>
      </c>
      <c r="AY353" s="220">
        <v>0</v>
      </c>
      <c r="BA353" s="44" t="str">
        <f t="shared" ca="1" si="49"/>
        <v>NGT_TO</v>
      </c>
      <c r="BB353" s="44" t="str">
        <f t="shared" si="47"/>
        <v>Fixed Inputs</v>
      </c>
      <c r="BC353" s="44" t="str">
        <f t="shared" si="45"/>
        <v>Variant allowances</v>
      </c>
      <c r="BD353" s="44" t="str">
        <f t="shared" si="48"/>
        <v>Totex variant allowances allocation percentages</v>
      </c>
    </row>
    <row r="354" spans="5:56">
      <c r="E354" s="212" t="str" cm="1">
        <f t="array" ref="E354">INDEX($E$128:$E$170,INT((ROW()-ROW($E$173))/6)+1)</f>
        <v>Compressor acoustic building replacement Price Control Deliverable</v>
      </c>
      <c r="G354" s="43" t="s">
        <v>33</v>
      </c>
      <c r="H354" s="43" t="s">
        <v>332</v>
      </c>
      <c r="AU354" s="165">
        <v>1</v>
      </c>
      <c r="AV354" s="32">
        <v>1</v>
      </c>
      <c r="AW354" s="32">
        <v>1</v>
      </c>
      <c r="AX354" s="32">
        <v>1</v>
      </c>
      <c r="AY354" s="213">
        <v>1</v>
      </c>
      <c r="BA354" s="44" t="str">
        <f t="shared" ca="1" si="49"/>
        <v>NGT_TO</v>
      </c>
      <c r="BB354" s="44" t="str">
        <f t="shared" si="47"/>
        <v>Fixed Inputs</v>
      </c>
      <c r="BC354" s="44" t="str">
        <f t="shared" si="45"/>
        <v>Variant allowances</v>
      </c>
      <c r="BD354" s="44" t="str">
        <f t="shared" si="48"/>
        <v>Totex variant allowances allocation percentages</v>
      </c>
    </row>
    <row r="355" spans="5:56">
      <c r="E355" s="212" t="str" cm="1">
        <f t="array" ref="E355">INDEX($E$128:$E$170,INT((ROW()-ROW($E$173))/6)+1)</f>
        <v>Compressor acoustic building replacement Price Control Deliverable</v>
      </c>
      <c r="G355" s="43" t="s">
        <v>33</v>
      </c>
      <c r="H355" s="43" t="s">
        <v>333</v>
      </c>
      <c r="AU355" s="165">
        <v>0</v>
      </c>
      <c r="AV355" s="32">
        <v>0</v>
      </c>
      <c r="AW355" s="32">
        <v>0</v>
      </c>
      <c r="AX355" s="32">
        <v>0</v>
      </c>
      <c r="AY355" s="213">
        <v>0</v>
      </c>
      <c r="BA355" s="44" t="str">
        <f t="shared" ca="1" si="49"/>
        <v>NGT_TO</v>
      </c>
      <c r="BB355" s="44" t="str">
        <f t="shared" si="47"/>
        <v>Fixed Inputs</v>
      </c>
      <c r="BC355" s="44" t="str">
        <f t="shared" si="45"/>
        <v>Variant allowances</v>
      </c>
      <c r="BD355" s="44" t="str">
        <f t="shared" si="48"/>
        <v>Totex variant allowances allocation percentages</v>
      </c>
    </row>
    <row r="356" spans="5:56">
      <c r="E356" s="212" t="str" cm="1">
        <f t="array" ref="E356">INDEX($E$128:$E$170,INT((ROW()-ROW($E$173))/6)+1)</f>
        <v>Compressor acoustic building replacement Price Control Deliverable</v>
      </c>
      <c r="G356" s="43" t="s">
        <v>33</v>
      </c>
      <c r="H356" s="43" t="s">
        <v>275</v>
      </c>
      <c r="AU356" s="165">
        <v>0</v>
      </c>
      <c r="AV356" s="32">
        <v>0</v>
      </c>
      <c r="AW356" s="32">
        <v>0</v>
      </c>
      <c r="AX356" s="32">
        <v>0</v>
      </c>
      <c r="AY356" s="213">
        <v>0</v>
      </c>
      <c r="BA356" s="44" t="str">
        <f t="shared" ca="1" si="49"/>
        <v>NGT_TO</v>
      </c>
      <c r="BB356" s="44" t="str">
        <f t="shared" si="47"/>
        <v>Fixed Inputs</v>
      </c>
      <c r="BC356" s="44" t="str">
        <f t="shared" si="45"/>
        <v>Variant allowances</v>
      </c>
      <c r="BD356" s="44" t="str">
        <f t="shared" si="48"/>
        <v>Totex variant allowances allocation percentages</v>
      </c>
    </row>
    <row r="357" spans="5:56">
      <c r="E357" s="212" t="str" cm="1">
        <f t="array" ref="E357">INDEX($E$128:$E$170,INT((ROW()-ROW($E$173))/6)+1)</f>
        <v>Compressor acoustic building replacement Price Control Deliverable</v>
      </c>
      <c r="G357" s="43" t="s">
        <v>33</v>
      </c>
      <c r="H357" s="43" t="s">
        <v>273</v>
      </c>
      <c r="AU357" s="165">
        <v>0</v>
      </c>
      <c r="AV357" s="32">
        <v>0</v>
      </c>
      <c r="AW357" s="32">
        <v>0</v>
      </c>
      <c r="AX357" s="32">
        <v>0</v>
      </c>
      <c r="AY357" s="213">
        <v>0</v>
      </c>
      <c r="BA357" s="44" t="str">
        <f t="shared" ca="1" si="49"/>
        <v>NGT_TO</v>
      </c>
      <c r="BB357" s="44" t="str">
        <f t="shared" si="47"/>
        <v>Fixed Inputs</v>
      </c>
      <c r="BC357" s="44" t="str">
        <f t="shared" si="45"/>
        <v>Variant allowances</v>
      </c>
      <c r="BD357" s="44" t="str">
        <f t="shared" si="48"/>
        <v>Totex variant allowances allocation percentages</v>
      </c>
    </row>
    <row r="358" spans="5:56">
      <c r="E358" s="201" t="str" cm="1">
        <f t="array" ref="E358">INDEX($E$128:$E$170,INT((ROW()-ROW($E$173))/6)+1)</f>
        <v>Compressor acoustic building replacement Price Control Deliverable</v>
      </c>
      <c r="F358" s="202"/>
      <c r="G358" s="202" t="s">
        <v>33</v>
      </c>
      <c r="H358" s="202" t="s">
        <v>274</v>
      </c>
      <c r="I358" s="202"/>
      <c r="J358" s="202"/>
      <c r="K358" s="202"/>
      <c r="L358" s="202"/>
      <c r="M358" s="202"/>
      <c r="N358" s="202"/>
      <c r="O358" s="202"/>
      <c r="P358" s="202"/>
      <c r="Q358" s="202"/>
      <c r="R358" s="202"/>
      <c r="S358" s="202"/>
      <c r="T358" s="202"/>
      <c r="U358" s="202"/>
      <c r="V358" s="202"/>
      <c r="W358" s="202"/>
      <c r="X358" s="202"/>
      <c r="Y358" s="202"/>
      <c r="Z358" s="202"/>
      <c r="AA358" s="202"/>
      <c r="AB358" s="202"/>
      <c r="AC358" s="202"/>
      <c r="AD358" s="202"/>
      <c r="AE358" s="202"/>
      <c r="AF358" s="202"/>
      <c r="AG358" s="202"/>
      <c r="AH358" s="202"/>
      <c r="AI358" s="202"/>
      <c r="AJ358" s="202"/>
      <c r="AK358" s="202"/>
      <c r="AL358" s="202"/>
      <c r="AM358" s="202"/>
      <c r="AN358" s="202"/>
      <c r="AO358" s="202"/>
      <c r="AP358" s="202"/>
      <c r="AQ358" s="202"/>
      <c r="AR358" s="202"/>
      <c r="AS358" s="202"/>
      <c r="AT358" s="203"/>
      <c r="AU358" s="214">
        <v>0</v>
      </c>
      <c r="AV358" s="215">
        <v>0</v>
      </c>
      <c r="AW358" s="215">
        <v>0</v>
      </c>
      <c r="AX358" s="215">
        <v>0</v>
      </c>
      <c r="AY358" s="216">
        <v>0</v>
      </c>
      <c r="BA358" s="44" t="str">
        <f t="shared" ca="1" si="49"/>
        <v>NGT_TO</v>
      </c>
      <c r="BB358" s="44" t="str">
        <f t="shared" si="47"/>
        <v>Fixed Inputs</v>
      </c>
      <c r="BC358" s="44" t="str">
        <f t="shared" si="45"/>
        <v>Variant allowances</v>
      </c>
      <c r="BD358" s="44" t="str">
        <f t="shared" si="48"/>
        <v>Totex variant allowances allocation percentages</v>
      </c>
    </row>
    <row r="359" spans="5:56">
      <c r="E359" s="195" t="str" cm="1">
        <f t="array" ref="E359">INDEX($E$128:$E$170,INT((ROW()-ROW($E$173))/6)+1)</f>
        <v>Easement Reinstatement Price Control Deliverable</v>
      </c>
      <c r="F359" s="196"/>
      <c r="G359" s="196" t="s">
        <v>33</v>
      </c>
      <c r="H359" s="196" t="s">
        <v>331</v>
      </c>
      <c r="I359" s="196"/>
      <c r="J359" s="196"/>
      <c r="K359" s="196"/>
      <c r="L359" s="196"/>
      <c r="M359" s="196"/>
      <c r="N359" s="196"/>
      <c r="O359" s="196"/>
      <c r="P359" s="196"/>
      <c r="Q359" s="196"/>
      <c r="R359" s="196"/>
      <c r="S359" s="196"/>
      <c r="T359" s="196"/>
      <c r="U359" s="196"/>
      <c r="V359" s="196"/>
      <c r="W359" s="196"/>
      <c r="X359" s="196"/>
      <c r="Y359" s="196"/>
      <c r="Z359" s="196"/>
      <c r="AA359" s="196"/>
      <c r="AB359" s="196"/>
      <c r="AC359" s="196"/>
      <c r="AD359" s="196"/>
      <c r="AE359" s="196"/>
      <c r="AF359" s="196"/>
      <c r="AG359" s="196"/>
      <c r="AH359" s="196"/>
      <c r="AI359" s="196"/>
      <c r="AJ359" s="196"/>
      <c r="AK359" s="196"/>
      <c r="AL359" s="196"/>
      <c r="AM359" s="196"/>
      <c r="AN359" s="196"/>
      <c r="AO359" s="196"/>
      <c r="AP359" s="196"/>
      <c r="AQ359" s="196"/>
      <c r="AR359" s="196"/>
      <c r="AS359" s="196"/>
      <c r="AT359" s="197"/>
      <c r="AU359" s="209">
        <v>0</v>
      </c>
      <c r="AV359" s="210">
        <v>0</v>
      </c>
      <c r="AW359" s="210">
        <v>0</v>
      </c>
      <c r="AX359" s="210">
        <v>0</v>
      </c>
      <c r="AY359" s="211">
        <v>0</v>
      </c>
      <c r="BA359" s="44" t="str">
        <f t="shared" ca="1" si="49"/>
        <v>NGT_TO</v>
      </c>
      <c r="BB359" s="44" t="str">
        <f t="shared" si="47"/>
        <v>Fixed Inputs</v>
      </c>
      <c r="BC359" s="44" t="str">
        <f t="shared" si="45"/>
        <v>Variant allowances</v>
      </c>
      <c r="BD359" s="44" t="str">
        <f t="shared" si="48"/>
        <v>Totex variant allowances allocation percentages</v>
      </c>
    </row>
    <row r="360" spans="5:56">
      <c r="E360" s="212" t="str" cm="1">
        <f t="array" ref="E360">INDEX($E$128:$E$170,INT((ROW()-ROW($E$173))/6)+1)</f>
        <v>Easement Reinstatement Price Control Deliverable</v>
      </c>
      <c r="G360" s="43" t="s">
        <v>33</v>
      </c>
      <c r="H360" s="43" t="s">
        <v>332</v>
      </c>
      <c r="AU360" s="165">
        <v>1</v>
      </c>
      <c r="AV360" s="32">
        <v>1</v>
      </c>
      <c r="AW360" s="32">
        <v>1</v>
      </c>
      <c r="AX360" s="32">
        <v>1</v>
      </c>
      <c r="AY360" s="213">
        <v>1</v>
      </c>
      <c r="BA360" s="44" t="str">
        <f t="shared" ca="1" si="49"/>
        <v>NGT_TO</v>
      </c>
      <c r="BB360" s="44" t="str">
        <f t="shared" si="47"/>
        <v>Fixed Inputs</v>
      </c>
      <c r="BC360" s="44" t="str">
        <f t="shared" si="45"/>
        <v>Variant allowances</v>
      </c>
      <c r="BD360" s="44" t="str">
        <f t="shared" si="48"/>
        <v>Totex variant allowances allocation percentages</v>
      </c>
    </row>
    <row r="361" spans="5:56">
      <c r="E361" s="212" t="str" cm="1">
        <f t="array" ref="E361">INDEX($E$128:$E$170,INT((ROW()-ROW($E$173))/6)+1)</f>
        <v>Easement Reinstatement Price Control Deliverable</v>
      </c>
      <c r="G361" s="43" t="s">
        <v>33</v>
      </c>
      <c r="H361" s="43" t="s">
        <v>333</v>
      </c>
      <c r="AU361" s="165">
        <v>0</v>
      </c>
      <c r="AV361" s="32">
        <v>0</v>
      </c>
      <c r="AW361" s="32">
        <v>0</v>
      </c>
      <c r="AX361" s="32">
        <v>0</v>
      </c>
      <c r="AY361" s="213">
        <v>0</v>
      </c>
      <c r="BA361" s="44" t="str">
        <f t="shared" ca="1" si="49"/>
        <v>NGT_TO</v>
      </c>
      <c r="BB361" s="44" t="str">
        <f t="shared" si="47"/>
        <v>Fixed Inputs</v>
      </c>
      <c r="BC361" s="44" t="str">
        <f t="shared" si="45"/>
        <v>Variant allowances</v>
      </c>
      <c r="BD361" s="44" t="str">
        <f t="shared" si="48"/>
        <v>Totex variant allowances allocation percentages</v>
      </c>
    </row>
    <row r="362" spans="5:56">
      <c r="E362" s="212" t="str" cm="1">
        <f t="array" ref="E362">INDEX($E$128:$E$170,INT((ROW()-ROW($E$173))/6)+1)</f>
        <v>Easement Reinstatement Price Control Deliverable</v>
      </c>
      <c r="G362" s="43" t="s">
        <v>33</v>
      </c>
      <c r="H362" s="43" t="s">
        <v>275</v>
      </c>
      <c r="AU362" s="165">
        <v>0</v>
      </c>
      <c r="AV362" s="32">
        <v>0</v>
      </c>
      <c r="AW362" s="32">
        <v>0</v>
      </c>
      <c r="AX362" s="32">
        <v>0</v>
      </c>
      <c r="AY362" s="213">
        <v>0</v>
      </c>
      <c r="BA362" s="44" t="str">
        <f t="shared" ca="1" si="49"/>
        <v>NGT_TO</v>
      </c>
      <c r="BB362" s="44" t="str">
        <f t="shared" si="47"/>
        <v>Fixed Inputs</v>
      </c>
      <c r="BC362" s="44" t="str">
        <f t="shared" si="45"/>
        <v>Variant allowances</v>
      </c>
      <c r="BD362" s="44" t="str">
        <f t="shared" si="48"/>
        <v>Totex variant allowances allocation percentages</v>
      </c>
    </row>
    <row r="363" spans="5:56">
      <c r="E363" s="212" t="str" cm="1">
        <f t="array" ref="E363">INDEX($E$128:$E$170,INT((ROW()-ROW($E$173))/6)+1)</f>
        <v>Easement Reinstatement Price Control Deliverable</v>
      </c>
      <c r="G363" s="43" t="s">
        <v>33</v>
      </c>
      <c r="H363" s="43" t="s">
        <v>273</v>
      </c>
      <c r="AU363" s="165">
        <v>0</v>
      </c>
      <c r="AV363" s="32">
        <v>0</v>
      </c>
      <c r="AW363" s="32">
        <v>0</v>
      </c>
      <c r="AX363" s="32">
        <v>0</v>
      </c>
      <c r="AY363" s="213">
        <v>0</v>
      </c>
      <c r="BA363" s="44" t="str">
        <f t="shared" ca="1" si="49"/>
        <v>NGT_TO</v>
      </c>
      <c r="BB363" s="44" t="str">
        <f t="shared" si="47"/>
        <v>Fixed Inputs</v>
      </c>
      <c r="BC363" s="44" t="str">
        <f t="shared" si="45"/>
        <v>Variant allowances</v>
      </c>
      <c r="BD363" s="44" t="str">
        <f t="shared" si="48"/>
        <v>Totex variant allowances allocation percentages</v>
      </c>
    </row>
    <row r="364" spans="5:56">
      <c r="E364" s="201" t="str" cm="1">
        <f t="array" ref="E364">INDEX($E$128:$E$170,INT((ROW()-ROW($E$173))/6)+1)</f>
        <v>Easement Reinstatement Price Control Deliverable</v>
      </c>
      <c r="F364" s="202"/>
      <c r="G364" s="202" t="s">
        <v>33</v>
      </c>
      <c r="H364" s="202" t="s">
        <v>274</v>
      </c>
      <c r="I364" s="202"/>
      <c r="J364" s="202"/>
      <c r="K364" s="202"/>
      <c r="L364" s="202"/>
      <c r="M364" s="202"/>
      <c r="N364" s="202"/>
      <c r="O364" s="202"/>
      <c r="P364" s="202"/>
      <c r="Q364" s="202"/>
      <c r="R364" s="202"/>
      <c r="S364" s="202"/>
      <c r="T364" s="202"/>
      <c r="U364" s="202"/>
      <c r="V364" s="202"/>
      <c r="W364" s="202"/>
      <c r="X364" s="202"/>
      <c r="Y364" s="202"/>
      <c r="Z364" s="202"/>
      <c r="AA364" s="202"/>
      <c r="AB364" s="202"/>
      <c r="AC364" s="202"/>
      <c r="AD364" s="202"/>
      <c r="AE364" s="202"/>
      <c r="AF364" s="202"/>
      <c r="AG364" s="202"/>
      <c r="AH364" s="202"/>
      <c r="AI364" s="202"/>
      <c r="AJ364" s="202"/>
      <c r="AK364" s="202"/>
      <c r="AL364" s="202"/>
      <c r="AM364" s="202"/>
      <c r="AN364" s="202"/>
      <c r="AO364" s="202"/>
      <c r="AP364" s="202"/>
      <c r="AQ364" s="202"/>
      <c r="AR364" s="202"/>
      <c r="AS364" s="202"/>
      <c r="AT364" s="203"/>
      <c r="AU364" s="214">
        <v>0</v>
      </c>
      <c r="AV364" s="215">
        <v>0</v>
      </c>
      <c r="AW364" s="215">
        <v>0</v>
      </c>
      <c r="AX364" s="215">
        <v>0</v>
      </c>
      <c r="AY364" s="216">
        <v>0</v>
      </c>
      <c r="BA364" s="44" t="str">
        <f t="shared" ca="1" si="49"/>
        <v>NGT_TO</v>
      </c>
      <c r="BB364" s="44" t="str">
        <f t="shared" si="47"/>
        <v>Fixed Inputs</v>
      </c>
      <c r="BC364" s="44" t="str">
        <f t="shared" si="45"/>
        <v>Variant allowances</v>
      </c>
      <c r="BD364" s="44" t="str">
        <f t="shared" si="48"/>
        <v>Totex variant allowances allocation percentages</v>
      </c>
    </row>
    <row r="365" spans="5:56">
      <c r="E365" s="195" t="str" cm="1">
        <f t="array" ref="E365">INDEX($E$128:$E$170,INT((ROW()-ROW($E$173))/6)+1)</f>
        <v>Removal and remediation of pipe stabbings Price Control Deliverable</v>
      </c>
      <c r="F365" s="196"/>
      <c r="G365" s="196" t="s">
        <v>33</v>
      </c>
      <c r="H365" s="196" t="s">
        <v>331</v>
      </c>
      <c r="I365" s="196"/>
      <c r="J365" s="196"/>
      <c r="K365" s="196"/>
      <c r="L365" s="196"/>
      <c r="M365" s="196"/>
      <c r="N365" s="196"/>
      <c r="O365" s="196"/>
      <c r="P365" s="196"/>
      <c r="Q365" s="196"/>
      <c r="R365" s="196"/>
      <c r="S365" s="196"/>
      <c r="T365" s="196"/>
      <c r="U365" s="196"/>
      <c r="V365" s="196"/>
      <c r="W365" s="196"/>
      <c r="X365" s="196"/>
      <c r="Y365" s="196"/>
      <c r="Z365" s="196"/>
      <c r="AA365" s="196"/>
      <c r="AB365" s="196"/>
      <c r="AC365" s="196"/>
      <c r="AD365" s="196"/>
      <c r="AE365" s="196"/>
      <c r="AF365" s="196"/>
      <c r="AG365" s="196"/>
      <c r="AH365" s="196"/>
      <c r="AI365" s="196"/>
      <c r="AJ365" s="196"/>
      <c r="AK365" s="196"/>
      <c r="AL365" s="196"/>
      <c r="AM365" s="196"/>
      <c r="AN365" s="196"/>
      <c r="AO365" s="196"/>
      <c r="AP365" s="196"/>
      <c r="AQ365" s="196"/>
      <c r="AR365" s="196"/>
      <c r="AS365" s="196"/>
      <c r="AT365" s="197"/>
      <c r="AU365" s="209">
        <v>0</v>
      </c>
      <c r="AV365" s="210">
        <v>0</v>
      </c>
      <c r="AW365" s="210">
        <v>0</v>
      </c>
      <c r="AX365" s="210">
        <v>0</v>
      </c>
      <c r="AY365" s="211">
        <v>0</v>
      </c>
      <c r="BA365" s="44" t="str">
        <f t="shared" ca="1" si="49"/>
        <v>NGT_TO</v>
      </c>
      <c r="BB365" s="44" t="str">
        <f t="shared" si="47"/>
        <v>Fixed Inputs</v>
      </c>
      <c r="BC365" s="44" t="str">
        <f t="shared" ref="BC365:BC428" si="50">$B$126</f>
        <v>Variant allowances</v>
      </c>
      <c r="BD365" s="44" t="str">
        <f t="shared" si="48"/>
        <v>Totex variant allowances allocation percentages</v>
      </c>
    </row>
    <row r="366" spans="5:56">
      <c r="E366" s="212" t="str" cm="1">
        <f t="array" ref="E366">INDEX($E$128:$E$170,INT((ROW()-ROW($E$173))/6)+1)</f>
        <v>Removal and remediation of pipe stabbings Price Control Deliverable</v>
      </c>
      <c r="G366" s="43" t="s">
        <v>33</v>
      </c>
      <c r="H366" s="43" t="s">
        <v>332</v>
      </c>
      <c r="AU366" s="165">
        <v>1</v>
      </c>
      <c r="AV366" s="32">
        <v>1</v>
      </c>
      <c r="AW366" s="32">
        <v>1</v>
      </c>
      <c r="AX366" s="32">
        <v>1</v>
      </c>
      <c r="AY366" s="213">
        <v>1</v>
      </c>
      <c r="BA366" s="44" t="str">
        <f t="shared" ca="1" si="49"/>
        <v>NGT_TO</v>
      </c>
      <c r="BB366" s="44" t="str">
        <f t="shared" si="47"/>
        <v>Fixed Inputs</v>
      </c>
      <c r="BC366" s="44" t="str">
        <f t="shared" si="50"/>
        <v>Variant allowances</v>
      </c>
      <c r="BD366" s="44" t="str">
        <f t="shared" si="48"/>
        <v>Totex variant allowances allocation percentages</v>
      </c>
    </row>
    <row r="367" spans="5:56">
      <c r="E367" s="212" t="str" cm="1">
        <f t="array" ref="E367">INDEX($E$128:$E$170,INT((ROW()-ROW($E$173))/6)+1)</f>
        <v>Removal and remediation of pipe stabbings Price Control Deliverable</v>
      </c>
      <c r="G367" s="43" t="s">
        <v>33</v>
      </c>
      <c r="H367" s="43" t="s">
        <v>333</v>
      </c>
      <c r="AU367" s="165">
        <v>0</v>
      </c>
      <c r="AV367" s="32">
        <v>0</v>
      </c>
      <c r="AW367" s="32">
        <v>0</v>
      </c>
      <c r="AX367" s="32">
        <v>0</v>
      </c>
      <c r="AY367" s="213">
        <v>0</v>
      </c>
      <c r="BA367" s="44" t="str">
        <f t="shared" ca="1" si="49"/>
        <v>NGT_TO</v>
      </c>
      <c r="BB367" s="44" t="str">
        <f t="shared" si="47"/>
        <v>Fixed Inputs</v>
      </c>
      <c r="BC367" s="44" t="str">
        <f t="shared" si="50"/>
        <v>Variant allowances</v>
      </c>
      <c r="BD367" s="44" t="str">
        <f t="shared" si="48"/>
        <v>Totex variant allowances allocation percentages</v>
      </c>
    </row>
    <row r="368" spans="5:56">
      <c r="E368" s="212" t="str" cm="1">
        <f t="array" ref="E368">INDEX($E$128:$E$170,INT((ROW()-ROW($E$173))/6)+1)</f>
        <v>Removal and remediation of pipe stabbings Price Control Deliverable</v>
      </c>
      <c r="G368" s="43" t="s">
        <v>33</v>
      </c>
      <c r="H368" s="43" t="s">
        <v>275</v>
      </c>
      <c r="AU368" s="165">
        <v>0</v>
      </c>
      <c r="AV368" s="32">
        <v>0</v>
      </c>
      <c r="AW368" s="32">
        <v>0</v>
      </c>
      <c r="AX368" s="32">
        <v>0</v>
      </c>
      <c r="AY368" s="213">
        <v>0</v>
      </c>
      <c r="BA368" s="44" t="str">
        <f t="shared" ca="1" si="49"/>
        <v>NGT_TO</v>
      </c>
      <c r="BB368" s="44" t="str">
        <f t="shared" si="47"/>
        <v>Fixed Inputs</v>
      </c>
      <c r="BC368" s="44" t="str">
        <f t="shared" si="50"/>
        <v>Variant allowances</v>
      </c>
      <c r="BD368" s="44" t="str">
        <f t="shared" si="48"/>
        <v>Totex variant allowances allocation percentages</v>
      </c>
    </row>
    <row r="369" spans="5:56">
      <c r="E369" s="212" t="str" cm="1">
        <f t="array" ref="E369">INDEX($E$128:$E$170,INT((ROW()-ROW($E$173))/6)+1)</f>
        <v>Removal and remediation of pipe stabbings Price Control Deliverable</v>
      </c>
      <c r="G369" s="43" t="s">
        <v>33</v>
      </c>
      <c r="H369" s="43" t="s">
        <v>273</v>
      </c>
      <c r="AU369" s="165">
        <v>0</v>
      </c>
      <c r="AV369" s="32">
        <v>0</v>
      </c>
      <c r="AW369" s="32">
        <v>0</v>
      </c>
      <c r="AX369" s="32">
        <v>0</v>
      </c>
      <c r="AY369" s="213">
        <v>0</v>
      </c>
      <c r="BA369" s="44" t="str">
        <f t="shared" ca="1" si="49"/>
        <v>NGT_TO</v>
      </c>
      <c r="BB369" s="44" t="str">
        <f t="shared" si="47"/>
        <v>Fixed Inputs</v>
      </c>
      <c r="BC369" s="44" t="str">
        <f t="shared" si="50"/>
        <v>Variant allowances</v>
      </c>
      <c r="BD369" s="44" t="str">
        <f t="shared" si="48"/>
        <v>Totex variant allowances allocation percentages</v>
      </c>
    </row>
    <row r="370" spans="5:56">
      <c r="E370" s="201" t="str" cm="1">
        <f t="array" ref="E370">INDEX($E$128:$E$170,INT((ROW()-ROW($E$173))/6)+1)</f>
        <v>Removal and remediation of pipe stabbings Price Control Deliverable</v>
      </c>
      <c r="F370" s="202"/>
      <c r="G370" s="202" t="s">
        <v>33</v>
      </c>
      <c r="H370" s="202" t="s">
        <v>274</v>
      </c>
      <c r="I370" s="202"/>
      <c r="J370" s="202"/>
      <c r="K370" s="202"/>
      <c r="L370" s="202"/>
      <c r="M370" s="202"/>
      <c r="N370" s="202"/>
      <c r="O370" s="202"/>
      <c r="P370" s="202"/>
      <c r="Q370" s="202"/>
      <c r="R370" s="202"/>
      <c r="S370" s="202"/>
      <c r="T370" s="202"/>
      <c r="U370" s="202"/>
      <c r="V370" s="202"/>
      <c r="W370" s="202"/>
      <c r="X370" s="202"/>
      <c r="Y370" s="202"/>
      <c r="Z370" s="202"/>
      <c r="AA370" s="202"/>
      <c r="AB370" s="202"/>
      <c r="AC370" s="202"/>
      <c r="AD370" s="202"/>
      <c r="AE370" s="202"/>
      <c r="AF370" s="202"/>
      <c r="AG370" s="202"/>
      <c r="AH370" s="202"/>
      <c r="AI370" s="202"/>
      <c r="AJ370" s="202"/>
      <c r="AK370" s="202"/>
      <c r="AL370" s="202"/>
      <c r="AM370" s="202"/>
      <c r="AN370" s="202"/>
      <c r="AO370" s="202"/>
      <c r="AP370" s="202"/>
      <c r="AQ370" s="202"/>
      <c r="AR370" s="202"/>
      <c r="AS370" s="202"/>
      <c r="AT370" s="203"/>
      <c r="AU370" s="214">
        <v>0</v>
      </c>
      <c r="AV370" s="215">
        <v>0</v>
      </c>
      <c r="AW370" s="215">
        <v>0</v>
      </c>
      <c r="AX370" s="215">
        <v>0</v>
      </c>
      <c r="AY370" s="216">
        <v>0</v>
      </c>
      <c r="BA370" s="44" t="str">
        <f t="shared" ca="1" si="49"/>
        <v>NGT_TO</v>
      </c>
      <c r="BB370" s="44" t="str">
        <f t="shared" si="47"/>
        <v>Fixed Inputs</v>
      </c>
      <c r="BC370" s="44" t="str">
        <f t="shared" si="50"/>
        <v>Variant allowances</v>
      </c>
      <c r="BD370" s="44" t="str">
        <f t="shared" si="48"/>
        <v>Totex variant allowances allocation percentages</v>
      </c>
    </row>
    <row r="371" spans="5:56">
      <c r="E371" s="195" t="str" cm="1">
        <f t="array" ref="E371">INDEX($E$128:$E$170,INT((ROW()-ROW($E$173))/6)+1)</f>
        <v>Actuator replacement Price Control Deliverable</v>
      </c>
      <c r="F371" s="196"/>
      <c r="G371" s="196" t="s">
        <v>33</v>
      </c>
      <c r="H371" s="196" t="s">
        <v>331</v>
      </c>
      <c r="I371" s="196"/>
      <c r="J371" s="196"/>
      <c r="K371" s="196"/>
      <c r="L371" s="196"/>
      <c r="M371" s="196"/>
      <c r="N371" s="196"/>
      <c r="O371" s="196"/>
      <c r="P371" s="196"/>
      <c r="Q371" s="196"/>
      <c r="R371" s="196"/>
      <c r="S371" s="196"/>
      <c r="T371" s="196"/>
      <c r="U371" s="196"/>
      <c r="V371" s="196"/>
      <c r="W371" s="196"/>
      <c r="X371" s="196"/>
      <c r="Y371" s="196"/>
      <c r="Z371" s="196"/>
      <c r="AA371" s="196"/>
      <c r="AB371" s="196"/>
      <c r="AC371" s="196"/>
      <c r="AD371" s="196"/>
      <c r="AE371" s="196"/>
      <c r="AF371" s="196"/>
      <c r="AG371" s="196"/>
      <c r="AH371" s="196"/>
      <c r="AI371" s="196"/>
      <c r="AJ371" s="196"/>
      <c r="AK371" s="196"/>
      <c r="AL371" s="196"/>
      <c r="AM371" s="196"/>
      <c r="AN371" s="196"/>
      <c r="AO371" s="196"/>
      <c r="AP371" s="196"/>
      <c r="AQ371" s="196"/>
      <c r="AR371" s="196"/>
      <c r="AS371" s="196"/>
      <c r="AT371" s="197"/>
      <c r="AU371" s="209">
        <v>0</v>
      </c>
      <c r="AV371" s="210">
        <v>0</v>
      </c>
      <c r="AW371" s="210">
        <v>0</v>
      </c>
      <c r="AX371" s="210">
        <v>0</v>
      </c>
      <c r="AY371" s="211">
        <v>0</v>
      </c>
      <c r="BA371" s="44" t="str">
        <f t="shared" ca="1" si="49"/>
        <v>NGT_TO</v>
      </c>
      <c r="BB371" s="44" t="str">
        <f t="shared" si="47"/>
        <v>Fixed Inputs</v>
      </c>
      <c r="BC371" s="44" t="str">
        <f t="shared" si="50"/>
        <v>Variant allowances</v>
      </c>
      <c r="BD371" s="44" t="str">
        <f t="shared" si="48"/>
        <v>Totex variant allowances allocation percentages</v>
      </c>
    </row>
    <row r="372" spans="5:56">
      <c r="E372" s="212" t="str" cm="1">
        <f t="array" ref="E372">INDEX($E$128:$E$170,INT((ROW()-ROW($E$173))/6)+1)</f>
        <v>Actuator replacement Price Control Deliverable</v>
      </c>
      <c r="G372" s="43" t="s">
        <v>33</v>
      </c>
      <c r="H372" s="43" t="s">
        <v>332</v>
      </c>
      <c r="AU372" s="165">
        <v>1</v>
      </c>
      <c r="AV372" s="32">
        <v>1</v>
      </c>
      <c r="AW372" s="32">
        <v>1</v>
      </c>
      <c r="AX372" s="32">
        <v>1</v>
      </c>
      <c r="AY372" s="213">
        <v>1</v>
      </c>
      <c r="BA372" s="44" t="str">
        <f t="shared" ca="1" si="49"/>
        <v>NGT_TO</v>
      </c>
      <c r="BB372" s="44" t="str">
        <f t="shared" si="47"/>
        <v>Fixed Inputs</v>
      </c>
      <c r="BC372" s="44" t="str">
        <f t="shared" si="50"/>
        <v>Variant allowances</v>
      </c>
      <c r="BD372" s="44" t="str">
        <f t="shared" si="48"/>
        <v>Totex variant allowances allocation percentages</v>
      </c>
    </row>
    <row r="373" spans="5:56">
      <c r="E373" s="212" t="str" cm="1">
        <f t="array" ref="E373">INDEX($E$128:$E$170,INT((ROW()-ROW($E$173))/6)+1)</f>
        <v>Actuator replacement Price Control Deliverable</v>
      </c>
      <c r="G373" s="43" t="s">
        <v>33</v>
      </c>
      <c r="H373" s="43" t="s">
        <v>333</v>
      </c>
      <c r="AU373" s="165">
        <v>0</v>
      </c>
      <c r="AV373" s="32">
        <v>0</v>
      </c>
      <c r="AW373" s="32">
        <v>0</v>
      </c>
      <c r="AX373" s="32">
        <v>0</v>
      </c>
      <c r="AY373" s="213">
        <v>0</v>
      </c>
      <c r="BA373" s="44" t="str">
        <f t="shared" ca="1" si="49"/>
        <v>NGT_TO</v>
      </c>
      <c r="BB373" s="44" t="str">
        <f t="shared" si="47"/>
        <v>Fixed Inputs</v>
      </c>
      <c r="BC373" s="44" t="str">
        <f t="shared" si="50"/>
        <v>Variant allowances</v>
      </c>
      <c r="BD373" s="44" t="str">
        <f t="shared" si="48"/>
        <v>Totex variant allowances allocation percentages</v>
      </c>
    </row>
    <row r="374" spans="5:56">
      <c r="E374" s="212" t="str" cm="1">
        <f t="array" ref="E374">INDEX($E$128:$E$170,INT((ROW()-ROW($E$173))/6)+1)</f>
        <v>Actuator replacement Price Control Deliverable</v>
      </c>
      <c r="G374" s="43" t="s">
        <v>33</v>
      </c>
      <c r="H374" s="43" t="s">
        <v>275</v>
      </c>
      <c r="AU374" s="165">
        <v>0</v>
      </c>
      <c r="AV374" s="32">
        <v>0</v>
      </c>
      <c r="AW374" s="32">
        <v>0</v>
      </c>
      <c r="AX374" s="32">
        <v>0</v>
      </c>
      <c r="AY374" s="213">
        <v>0</v>
      </c>
      <c r="BA374" s="44" t="str">
        <f t="shared" ca="1" si="49"/>
        <v>NGT_TO</v>
      </c>
      <c r="BB374" s="44" t="str">
        <f t="shared" si="47"/>
        <v>Fixed Inputs</v>
      </c>
      <c r="BC374" s="44" t="str">
        <f t="shared" si="50"/>
        <v>Variant allowances</v>
      </c>
      <c r="BD374" s="44" t="str">
        <f t="shared" si="48"/>
        <v>Totex variant allowances allocation percentages</v>
      </c>
    </row>
    <row r="375" spans="5:56">
      <c r="E375" s="212" t="str" cm="1">
        <f t="array" ref="E375">INDEX($E$128:$E$170,INT((ROW()-ROW($E$173))/6)+1)</f>
        <v>Actuator replacement Price Control Deliverable</v>
      </c>
      <c r="G375" s="43" t="s">
        <v>33</v>
      </c>
      <c r="H375" s="43" t="s">
        <v>273</v>
      </c>
      <c r="AU375" s="165">
        <v>0</v>
      </c>
      <c r="AV375" s="32">
        <v>0</v>
      </c>
      <c r="AW375" s="32">
        <v>0</v>
      </c>
      <c r="AX375" s="32">
        <v>0</v>
      </c>
      <c r="AY375" s="213">
        <v>0</v>
      </c>
      <c r="BA375" s="44" t="str">
        <f t="shared" ca="1" si="49"/>
        <v>NGT_TO</v>
      </c>
      <c r="BB375" s="44" t="str">
        <f t="shared" si="47"/>
        <v>Fixed Inputs</v>
      </c>
      <c r="BC375" s="44" t="str">
        <f t="shared" si="50"/>
        <v>Variant allowances</v>
      </c>
      <c r="BD375" s="44" t="str">
        <f t="shared" si="48"/>
        <v>Totex variant allowances allocation percentages</v>
      </c>
    </row>
    <row r="376" spans="5:56">
      <c r="E376" s="201" t="str" cm="1">
        <f t="array" ref="E376">INDEX($E$128:$E$170,INT((ROW()-ROW($E$173))/6)+1)</f>
        <v>Actuator replacement Price Control Deliverable</v>
      </c>
      <c r="F376" s="202"/>
      <c r="G376" s="202" t="s">
        <v>33</v>
      </c>
      <c r="H376" s="202" t="s">
        <v>274</v>
      </c>
      <c r="I376" s="202"/>
      <c r="J376" s="202"/>
      <c r="K376" s="202"/>
      <c r="L376" s="202"/>
      <c r="M376" s="202"/>
      <c r="N376" s="202"/>
      <c r="O376" s="202"/>
      <c r="P376" s="202"/>
      <c r="Q376" s="202"/>
      <c r="R376" s="202"/>
      <c r="S376" s="202"/>
      <c r="T376" s="202"/>
      <c r="U376" s="202"/>
      <c r="V376" s="202"/>
      <c r="W376" s="202"/>
      <c r="X376" s="202"/>
      <c r="Y376" s="202"/>
      <c r="Z376" s="202"/>
      <c r="AA376" s="202"/>
      <c r="AB376" s="202"/>
      <c r="AC376" s="202"/>
      <c r="AD376" s="202"/>
      <c r="AE376" s="202"/>
      <c r="AF376" s="202"/>
      <c r="AG376" s="202"/>
      <c r="AH376" s="202"/>
      <c r="AI376" s="202"/>
      <c r="AJ376" s="202"/>
      <c r="AK376" s="202"/>
      <c r="AL376" s="202"/>
      <c r="AM376" s="202"/>
      <c r="AN376" s="202"/>
      <c r="AO376" s="202"/>
      <c r="AP376" s="202"/>
      <c r="AQ376" s="202"/>
      <c r="AR376" s="202"/>
      <c r="AS376" s="202"/>
      <c r="AT376" s="203"/>
      <c r="AU376" s="214">
        <v>0</v>
      </c>
      <c r="AV376" s="215">
        <v>0</v>
      </c>
      <c r="AW376" s="215">
        <v>0</v>
      </c>
      <c r="AX376" s="215">
        <v>0</v>
      </c>
      <c r="AY376" s="216">
        <v>0</v>
      </c>
      <c r="BA376" s="44" t="str">
        <f t="shared" ca="1" si="49"/>
        <v>NGT_TO</v>
      </c>
      <c r="BB376" s="44" t="str">
        <f t="shared" si="47"/>
        <v>Fixed Inputs</v>
      </c>
      <c r="BC376" s="44" t="str">
        <f t="shared" si="50"/>
        <v>Variant allowances</v>
      </c>
      <c r="BD376" s="44" t="str">
        <f t="shared" si="48"/>
        <v>Totex variant allowances allocation percentages</v>
      </c>
    </row>
    <row r="377" spans="5:56">
      <c r="E377" s="195" t="str" cm="1">
        <f t="array" ref="E377">INDEX($E$128:$E$170,INT((ROW()-ROW($E$173))/6)+1)</f>
        <v>GT2/GT3 Crossover Adjustment</v>
      </c>
      <c r="F377" s="196"/>
      <c r="G377" s="196" t="s">
        <v>33</v>
      </c>
      <c r="H377" s="196" t="s">
        <v>331</v>
      </c>
      <c r="I377" s="196"/>
      <c r="J377" s="196"/>
      <c r="K377" s="196"/>
      <c r="L377" s="196"/>
      <c r="M377" s="196"/>
      <c r="N377" s="196"/>
      <c r="O377" s="196"/>
      <c r="P377" s="196"/>
      <c r="Q377" s="196"/>
      <c r="R377" s="196"/>
      <c r="S377" s="196"/>
      <c r="T377" s="196"/>
      <c r="U377" s="196"/>
      <c r="V377" s="196"/>
      <c r="W377" s="196"/>
      <c r="X377" s="196"/>
      <c r="Y377" s="196"/>
      <c r="Z377" s="196"/>
      <c r="AA377" s="196"/>
      <c r="AB377" s="196"/>
      <c r="AC377" s="196"/>
      <c r="AD377" s="196"/>
      <c r="AE377" s="196"/>
      <c r="AF377" s="196"/>
      <c r="AG377" s="196"/>
      <c r="AH377" s="196"/>
      <c r="AI377" s="196"/>
      <c r="AJ377" s="196"/>
      <c r="AK377" s="196"/>
      <c r="AL377" s="196"/>
      <c r="AM377" s="196"/>
      <c r="AN377" s="196"/>
      <c r="AO377" s="196"/>
      <c r="AP377" s="196"/>
      <c r="AQ377" s="196"/>
      <c r="AR377" s="196"/>
      <c r="AS377" s="196"/>
      <c r="AT377" s="197"/>
      <c r="AU377" s="209">
        <v>0</v>
      </c>
      <c r="AV377" s="210">
        <v>0</v>
      </c>
      <c r="AW377" s="210">
        <v>0</v>
      </c>
      <c r="AX377" s="210">
        <v>0</v>
      </c>
      <c r="AY377" s="211">
        <v>0</v>
      </c>
      <c r="BA377" s="44" t="str">
        <f t="shared" ca="1" si="49"/>
        <v>NGT_TO</v>
      </c>
      <c r="BB377" s="44" t="str">
        <f t="shared" si="47"/>
        <v>Fixed Inputs</v>
      </c>
      <c r="BC377" s="44" t="str">
        <f t="shared" si="50"/>
        <v>Variant allowances</v>
      </c>
      <c r="BD377" s="44" t="str">
        <f t="shared" si="48"/>
        <v>Totex variant allowances allocation percentages</v>
      </c>
    </row>
    <row r="378" spans="5:56">
      <c r="E378" s="212" t="str" cm="1">
        <f t="array" ref="E378">INDEX($E$128:$E$170,INT((ROW()-ROW($E$173))/6)+1)</f>
        <v>GT2/GT3 Crossover Adjustment</v>
      </c>
      <c r="G378" s="43" t="s">
        <v>33</v>
      </c>
      <c r="H378" s="43" t="s">
        <v>332</v>
      </c>
      <c r="AU378" s="165">
        <v>0</v>
      </c>
      <c r="AV378" s="32">
        <v>0</v>
      </c>
      <c r="AW378" s="32">
        <v>0</v>
      </c>
      <c r="AX378" s="32">
        <v>0</v>
      </c>
      <c r="AY378" s="213">
        <v>0</v>
      </c>
      <c r="BA378" s="44" t="str">
        <f t="shared" ca="1" si="49"/>
        <v>NGT_TO</v>
      </c>
      <c r="BB378" s="44" t="str">
        <f t="shared" si="47"/>
        <v>Fixed Inputs</v>
      </c>
      <c r="BC378" s="44" t="str">
        <f t="shared" si="50"/>
        <v>Variant allowances</v>
      </c>
      <c r="BD378" s="44" t="str">
        <f t="shared" si="48"/>
        <v>Totex variant allowances allocation percentages</v>
      </c>
    </row>
    <row r="379" spans="5:56">
      <c r="E379" s="212" t="str" cm="1">
        <f t="array" ref="E379">INDEX($E$128:$E$170,INT((ROW()-ROW($E$173))/6)+1)</f>
        <v>GT2/GT3 Crossover Adjustment</v>
      </c>
      <c r="G379" s="43" t="s">
        <v>33</v>
      </c>
      <c r="H379" s="43" t="s">
        <v>333</v>
      </c>
      <c r="AU379" s="165">
        <v>0</v>
      </c>
      <c r="AV379" s="32">
        <v>0</v>
      </c>
      <c r="AW379" s="32">
        <v>0</v>
      </c>
      <c r="AX379" s="32">
        <v>0</v>
      </c>
      <c r="AY379" s="213">
        <v>0</v>
      </c>
      <c r="BA379" s="44" t="str">
        <f t="shared" ca="1" si="49"/>
        <v>NGT_TO</v>
      </c>
      <c r="BB379" s="44" t="str">
        <f t="shared" si="47"/>
        <v>Fixed Inputs</v>
      </c>
      <c r="BC379" s="44" t="str">
        <f t="shared" si="50"/>
        <v>Variant allowances</v>
      </c>
      <c r="BD379" s="44" t="str">
        <f t="shared" si="48"/>
        <v>Totex variant allowances allocation percentages</v>
      </c>
    </row>
    <row r="380" spans="5:56">
      <c r="E380" s="212" t="str" cm="1">
        <f t="array" ref="E380">INDEX($E$128:$E$170,INT((ROW()-ROW($E$173))/6)+1)</f>
        <v>GT2/GT3 Crossover Adjustment</v>
      </c>
      <c r="G380" s="43" t="s">
        <v>33</v>
      </c>
      <c r="H380" s="43" t="s">
        <v>275</v>
      </c>
      <c r="AU380" s="165">
        <v>0</v>
      </c>
      <c r="AV380" s="32">
        <v>0</v>
      </c>
      <c r="AW380" s="32">
        <v>0</v>
      </c>
      <c r="AX380" s="32">
        <v>0</v>
      </c>
      <c r="AY380" s="213">
        <v>0</v>
      </c>
      <c r="BA380" s="44" t="str">
        <f t="shared" ca="1" si="49"/>
        <v>NGT_TO</v>
      </c>
      <c r="BB380" s="44" t="str">
        <f t="shared" si="47"/>
        <v>Fixed Inputs</v>
      </c>
      <c r="BC380" s="44" t="str">
        <f t="shared" si="50"/>
        <v>Variant allowances</v>
      </c>
      <c r="BD380" s="44" t="str">
        <f t="shared" si="48"/>
        <v>Totex variant allowances allocation percentages</v>
      </c>
    </row>
    <row r="381" spans="5:56">
      <c r="E381" s="212" t="str" cm="1">
        <f t="array" ref="E381">INDEX($E$128:$E$170,INT((ROW()-ROW($E$173))/6)+1)</f>
        <v>GT2/GT3 Crossover Adjustment</v>
      </c>
      <c r="G381" s="43" t="s">
        <v>33</v>
      </c>
      <c r="H381" s="43" t="s">
        <v>273</v>
      </c>
      <c r="AU381" s="165">
        <v>0</v>
      </c>
      <c r="AV381" s="32">
        <v>0</v>
      </c>
      <c r="AW381" s="32">
        <v>0</v>
      </c>
      <c r="AX381" s="32">
        <v>0</v>
      </c>
      <c r="AY381" s="213">
        <v>0</v>
      </c>
      <c r="BA381" s="44" t="str">
        <f t="shared" ca="1" si="49"/>
        <v>NGT_TO</v>
      </c>
      <c r="BB381" s="44" t="str">
        <f t="shared" si="47"/>
        <v>Fixed Inputs</v>
      </c>
      <c r="BC381" s="44" t="str">
        <f t="shared" si="50"/>
        <v>Variant allowances</v>
      </c>
      <c r="BD381" s="44" t="str">
        <f t="shared" si="48"/>
        <v>Totex variant allowances allocation percentages</v>
      </c>
    </row>
    <row r="382" spans="5:56">
      <c r="E382" s="201" t="str" cm="1">
        <f t="array" ref="E382">INDEX($E$128:$E$170,INT((ROW()-ROW($E$173))/6)+1)</f>
        <v>GT2/GT3 Crossover Adjustment</v>
      </c>
      <c r="F382" s="202"/>
      <c r="G382" s="202" t="s">
        <v>33</v>
      </c>
      <c r="H382" s="202" t="s">
        <v>274</v>
      </c>
      <c r="I382" s="202"/>
      <c r="J382" s="202"/>
      <c r="K382" s="202"/>
      <c r="L382" s="202"/>
      <c r="M382" s="202"/>
      <c r="N382" s="202"/>
      <c r="O382" s="202"/>
      <c r="P382" s="202"/>
      <c r="Q382" s="202"/>
      <c r="R382" s="202"/>
      <c r="S382" s="202"/>
      <c r="T382" s="202"/>
      <c r="U382" s="202"/>
      <c r="V382" s="202"/>
      <c r="W382" s="202"/>
      <c r="X382" s="202"/>
      <c r="Y382" s="202"/>
      <c r="Z382" s="202"/>
      <c r="AA382" s="202"/>
      <c r="AB382" s="202"/>
      <c r="AC382" s="202"/>
      <c r="AD382" s="202"/>
      <c r="AE382" s="202"/>
      <c r="AF382" s="202"/>
      <c r="AG382" s="202"/>
      <c r="AH382" s="202"/>
      <c r="AI382" s="202"/>
      <c r="AJ382" s="202"/>
      <c r="AK382" s="202"/>
      <c r="AL382" s="202"/>
      <c r="AM382" s="202"/>
      <c r="AN382" s="202"/>
      <c r="AO382" s="202"/>
      <c r="AP382" s="202"/>
      <c r="AQ382" s="202"/>
      <c r="AR382" s="202"/>
      <c r="AS382" s="202"/>
      <c r="AT382" s="203"/>
      <c r="AU382" s="214">
        <v>0</v>
      </c>
      <c r="AV382" s="215">
        <v>0</v>
      </c>
      <c r="AW382" s="215">
        <v>0</v>
      </c>
      <c r="AX382" s="215">
        <v>0</v>
      </c>
      <c r="AY382" s="216">
        <v>0</v>
      </c>
      <c r="BA382" s="44" t="str">
        <f t="shared" ca="1" si="49"/>
        <v>NGT_TO</v>
      </c>
      <c r="BB382" s="44" t="str">
        <f t="shared" si="47"/>
        <v>Fixed Inputs</v>
      </c>
      <c r="BC382" s="44" t="str">
        <f t="shared" si="50"/>
        <v>Variant allowances</v>
      </c>
      <c r="BD382" s="44" t="str">
        <f t="shared" si="48"/>
        <v>Totex variant allowances allocation percentages</v>
      </c>
    </row>
    <row r="383" spans="5:56">
      <c r="E383" s="195" t="str" cm="1">
        <f t="array" ref="E383">INDEX($E$128:$E$170,INT((ROW()-ROW($E$173))/6)+1)</f>
        <v>Spare 1</v>
      </c>
      <c r="F383" s="196"/>
      <c r="G383" s="196" t="s">
        <v>33</v>
      </c>
      <c r="H383" s="196" t="s">
        <v>331</v>
      </c>
      <c r="I383" s="196"/>
      <c r="J383" s="196"/>
      <c r="K383" s="196"/>
      <c r="L383" s="196"/>
      <c r="M383" s="196"/>
      <c r="N383" s="196"/>
      <c r="O383" s="196"/>
      <c r="P383" s="196"/>
      <c r="Q383" s="196"/>
      <c r="R383" s="196"/>
      <c r="S383" s="196"/>
      <c r="T383" s="196"/>
      <c r="U383" s="196"/>
      <c r="V383" s="196"/>
      <c r="W383" s="196"/>
      <c r="X383" s="196"/>
      <c r="Y383" s="196"/>
      <c r="Z383" s="196"/>
      <c r="AA383" s="196"/>
      <c r="AB383" s="196"/>
      <c r="AC383" s="196"/>
      <c r="AD383" s="196"/>
      <c r="AE383" s="196"/>
      <c r="AF383" s="196"/>
      <c r="AG383" s="196"/>
      <c r="AH383" s="196"/>
      <c r="AI383" s="196"/>
      <c r="AJ383" s="196"/>
      <c r="AK383" s="196"/>
      <c r="AL383" s="196"/>
      <c r="AM383" s="196"/>
      <c r="AN383" s="196"/>
      <c r="AO383" s="196"/>
      <c r="AP383" s="196"/>
      <c r="AQ383" s="196"/>
      <c r="AR383" s="196"/>
      <c r="AS383" s="196"/>
      <c r="AT383" s="197"/>
      <c r="AU383" s="209"/>
      <c r="AV383" s="210"/>
      <c r="AW383" s="210"/>
      <c r="AX383" s="210"/>
      <c r="AY383" s="211"/>
      <c r="BA383" s="44" t="str">
        <f t="shared" ca="1" si="49"/>
        <v>NGT_TO</v>
      </c>
      <c r="BB383" s="44" t="str">
        <f t="shared" si="47"/>
        <v>Fixed Inputs</v>
      </c>
      <c r="BC383" s="44" t="str">
        <f t="shared" si="50"/>
        <v>Variant allowances</v>
      </c>
      <c r="BD383" s="44" t="str">
        <f t="shared" si="48"/>
        <v>Totex variant allowances allocation percentages</v>
      </c>
    </row>
    <row r="384" spans="5:56">
      <c r="E384" s="212" t="str" cm="1">
        <f t="array" ref="E384">INDEX($E$128:$E$170,INT((ROW()-ROW($E$173))/6)+1)</f>
        <v>Spare 1</v>
      </c>
      <c r="G384" s="43" t="s">
        <v>33</v>
      </c>
      <c r="H384" s="43" t="s">
        <v>332</v>
      </c>
      <c r="AU384" s="165"/>
      <c r="AV384" s="32"/>
      <c r="AW384" s="32"/>
      <c r="AX384" s="32"/>
      <c r="AY384" s="213"/>
      <c r="BA384" s="44" t="str">
        <f t="shared" ca="1" si="49"/>
        <v>NGT_TO</v>
      </c>
      <c r="BB384" s="44" t="str">
        <f t="shared" si="47"/>
        <v>Fixed Inputs</v>
      </c>
      <c r="BC384" s="44" t="str">
        <f t="shared" si="50"/>
        <v>Variant allowances</v>
      </c>
      <c r="BD384" s="44" t="str">
        <f t="shared" si="48"/>
        <v>Totex variant allowances allocation percentages</v>
      </c>
    </row>
    <row r="385" spans="5:56">
      <c r="E385" s="212" t="str" cm="1">
        <f t="array" ref="E385">INDEX($E$128:$E$170,INT((ROW()-ROW($E$173))/6)+1)</f>
        <v>Spare 1</v>
      </c>
      <c r="G385" s="43" t="s">
        <v>33</v>
      </c>
      <c r="H385" s="43" t="s">
        <v>333</v>
      </c>
      <c r="AU385" s="165"/>
      <c r="AV385" s="32"/>
      <c r="AW385" s="32"/>
      <c r="AX385" s="32"/>
      <c r="AY385" s="213"/>
      <c r="BA385" s="44" t="str">
        <f t="shared" ca="1" si="49"/>
        <v>NGT_TO</v>
      </c>
      <c r="BB385" s="44" t="str">
        <f t="shared" si="47"/>
        <v>Fixed Inputs</v>
      </c>
      <c r="BC385" s="44" t="str">
        <f t="shared" si="50"/>
        <v>Variant allowances</v>
      </c>
      <c r="BD385" s="44" t="str">
        <f t="shared" si="48"/>
        <v>Totex variant allowances allocation percentages</v>
      </c>
    </row>
    <row r="386" spans="5:56">
      <c r="E386" s="212" t="str" cm="1">
        <f t="array" ref="E386">INDEX($E$128:$E$170,INT((ROW()-ROW($E$173))/6)+1)</f>
        <v>Spare 1</v>
      </c>
      <c r="G386" s="43" t="s">
        <v>33</v>
      </c>
      <c r="H386" s="43" t="s">
        <v>275</v>
      </c>
      <c r="AU386" s="165"/>
      <c r="AV386" s="32"/>
      <c r="AW386" s="32"/>
      <c r="AX386" s="32"/>
      <c r="AY386" s="213"/>
      <c r="BA386" s="44" t="str">
        <f t="shared" ca="1" si="49"/>
        <v>NGT_TO</v>
      </c>
      <c r="BB386" s="44" t="str">
        <f t="shared" si="47"/>
        <v>Fixed Inputs</v>
      </c>
      <c r="BC386" s="44" t="str">
        <f t="shared" si="50"/>
        <v>Variant allowances</v>
      </c>
      <c r="BD386" s="44" t="str">
        <f t="shared" si="48"/>
        <v>Totex variant allowances allocation percentages</v>
      </c>
    </row>
    <row r="387" spans="5:56">
      <c r="E387" s="212" t="str" cm="1">
        <f t="array" ref="E387">INDEX($E$128:$E$170,INT((ROW()-ROW($E$173))/6)+1)</f>
        <v>Spare 1</v>
      </c>
      <c r="G387" s="43" t="s">
        <v>33</v>
      </c>
      <c r="H387" s="43" t="s">
        <v>273</v>
      </c>
      <c r="AU387" s="165"/>
      <c r="AV387" s="32"/>
      <c r="AW387" s="32"/>
      <c r="AX387" s="32"/>
      <c r="AY387" s="213"/>
      <c r="BA387" s="44" t="str">
        <f t="shared" ca="1" si="49"/>
        <v>NGT_TO</v>
      </c>
      <c r="BB387" s="44" t="str">
        <f t="shared" si="47"/>
        <v>Fixed Inputs</v>
      </c>
      <c r="BC387" s="44" t="str">
        <f t="shared" si="50"/>
        <v>Variant allowances</v>
      </c>
      <c r="BD387" s="44" t="str">
        <f t="shared" si="48"/>
        <v>Totex variant allowances allocation percentages</v>
      </c>
    </row>
    <row r="388" spans="5:56">
      <c r="E388" s="201" t="str" cm="1">
        <f t="array" ref="E388">INDEX($E$128:$E$170,INT((ROW()-ROW($E$173))/6)+1)</f>
        <v>Spare 1</v>
      </c>
      <c r="F388" s="202"/>
      <c r="G388" s="202" t="s">
        <v>33</v>
      </c>
      <c r="H388" s="202" t="s">
        <v>274</v>
      </c>
      <c r="I388" s="202"/>
      <c r="J388" s="202"/>
      <c r="K388" s="202"/>
      <c r="L388" s="202"/>
      <c r="M388" s="202"/>
      <c r="N388" s="202"/>
      <c r="O388" s="202"/>
      <c r="P388" s="202"/>
      <c r="Q388" s="202"/>
      <c r="R388" s="202"/>
      <c r="S388" s="202"/>
      <c r="T388" s="202"/>
      <c r="U388" s="202"/>
      <c r="V388" s="202"/>
      <c r="W388" s="202"/>
      <c r="X388" s="202"/>
      <c r="Y388" s="202"/>
      <c r="Z388" s="202"/>
      <c r="AA388" s="202"/>
      <c r="AB388" s="202"/>
      <c r="AC388" s="202"/>
      <c r="AD388" s="202"/>
      <c r="AE388" s="202"/>
      <c r="AF388" s="202"/>
      <c r="AG388" s="202"/>
      <c r="AH388" s="202"/>
      <c r="AI388" s="202"/>
      <c r="AJ388" s="202"/>
      <c r="AK388" s="202"/>
      <c r="AL388" s="202"/>
      <c r="AM388" s="202"/>
      <c r="AN388" s="202"/>
      <c r="AO388" s="202"/>
      <c r="AP388" s="202"/>
      <c r="AQ388" s="202"/>
      <c r="AR388" s="202"/>
      <c r="AS388" s="202"/>
      <c r="AT388" s="203"/>
      <c r="AU388" s="214"/>
      <c r="AV388" s="215"/>
      <c r="AW388" s="215"/>
      <c r="AX388" s="215"/>
      <c r="AY388" s="216"/>
      <c r="BA388" s="44" t="str">
        <f t="shared" ca="1" si="49"/>
        <v>NGT_TO</v>
      </c>
      <c r="BB388" s="44" t="str">
        <f t="shared" si="47"/>
        <v>Fixed Inputs</v>
      </c>
      <c r="BC388" s="44" t="str">
        <f t="shared" si="50"/>
        <v>Variant allowances</v>
      </c>
      <c r="BD388" s="44" t="str">
        <f t="shared" si="48"/>
        <v>Totex variant allowances allocation percentages</v>
      </c>
    </row>
    <row r="389" spans="5:56">
      <c r="E389" s="195" t="str" cm="1">
        <f t="array" ref="E389">INDEX($E$128:$E$170,INT((ROW()-ROW($E$173))/6)+1)</f>
        <v>Spare 2</v>
      </c>
      <c r="F389" s="196"/>
      <c r="G389" s="196" t="s">
        <v>33</v>
      </c>
      <c r="H389" s="196" t="s">
        <v>331</v>
      </c>
      <c r="I389" s="196"/>
      <c r="J389" s="196"/>
      <c r="K389" s="196"/>
      <c r="L389" s="196"/>
      <c r="M389" s="196"/>
      <c r="N389" s="196"/>
      <c r="O389" s="196"/>
      <c r="P389" s="196"/>
      <c r="Q389" s="196"/>
      <c r="R389" s="196"/>
      <c r="S389" s="196"/>
      <c r="T389" s="196"/>
      <c r="U389" s="196"/>
      <c r="V389" s="196"/>
      <c r="W389" s="196"/>
      <c r="X389" s="196"/>
      <c r="Y389" s="196"/>
      <c r="Z389" s="196"/>
      <c r="AA389" s="196"/>
      <c r="AB389" s="196"/>
      <c r="AC389" s="196"/>
      <c r="AD389" s="196"/>
      <c r="AE389" s="196"/>
      <c r="AF389" s="196"/>
      <c r="AG389" s="196"/>
      <c r="AH389" s="196"/>
      <c r="AI389" s="196"/>
      <c r="AJ389" s="196"/>
      <c r="AK389" s="196"/>
      <c r="AL389" s="196"/>
      <c r="AM389" s="196"/>
      <c r="AN389" s="196"/>
      <c r="AO389" s="196"/>
      <c r="AP389" s="196"/>
      <c r="AQ389" s="196"/>
      <c r="AR389" s="196"/>
      <c r="AS389" s="196"/>
      <c r="AT389" s="197"/>
      <c r="AU389" s="209"/>
      <c r="AV389" s="210"/>
      <c r="AW389" s="210"/>
      <c r="AX389" s="210"/>
      <c r="AY389" s="211"/>
      <c r="BA389" s="44" t="str">
        <f t="shared" ca="1" si="49"/>
        <v>NGT_TO</v>
      </c>
      <c r="BB389" s="44" t="str">
        <f t="shared" si="47"/>
        <v>Fixed Inputs</v>
      </c>
      <c r="BC389" s="44" t="str">
        <f t="shared" si="50"/>
        <v>Variant allowances</v>
      </c>
      <c r="BD389" s="44" t="str">
        <f t="shared" si="48"/>
        <v>Totex variant allowances allocation percentages</v>
      </c>
    </row>
    <row r="390" spans="5:56">
      <c r="E390" s="212" t="str" cm="1">
        <f t="array" ref="E390">INDEX($E$128:$E$170,INT((ROW()-ROW($E$173))/6)+1)</f>
        <v>Spare 2</v>
      </c>
      <c r="G390" s="43" t="s">
        <v>33</v>
      </c>
      <c r="H390" s="43" t="s">
        <v>332</v>
      </c>
      <c r="AU390" s="165"/>
      <c r="AV390" s="32"/>
      <c r="AW390" s="32"/>
      <c r="AX390" s="32"/>
      <c r="AY390" s="213"/>
      <c r="BA390" s="44" t="str">
        <f t="shared" ca="1" si="49"/>
        <v>NGT_TO</v>
      </c>
      <c r="BB390" s="44" t="str">
        <f t="shared" si="47"/>
        <v>Fixed Inputs</v>
      </c>
      <c r="BC390" s="44" t="str">
        <f t="shared" si="50"/>
        <v>Variant allowances</v>
      </c>
      <c r="BD390" s="44" t="str">
        <f t="shared" si="48"/>
        <v>Totex variant allowances allocation percentages</v>
      </c>
    </row>
    <row r="391" spans="5:56">
      <c r="E391" s="212" t="str" cm="1">
        <f t="array" ref="E391">INDEX($E$128:$E$170,INT((ROW()-ROW($E$173))/6)+1)</f>
        <v>Spare 2</v>
      </c>
      <c r="G391" s="43" t="s">
        <v>33</v>
      </c>
      <c r="H391" s="43" t="s">
        <v>333</v>
      </c>
      <c r="AU391" s="165"/>
      <c r="AV391" s="32"/>
      <c r="AW391" s="32"/>
      <c r="AX391" s="32"/>
      <c r="AY391" s="213"/>
      <c r="BA391" s="44" t="str">
        <f t="shared" ca="1" si="49"/>
        <v>NGT_TO</v>
      </c>
      <c r="BB391" s="44" t="str">
        <f t="shared" si="47"/>
        <v>Fixed Inputs</v>
      </c>
      <c r="BC391" s="44" t="str">
        <f t="shared" si="50"/>
        <v>Variant allowances</v>
      </c>
      <c r="BD391" s="44" t="str">
        <f t="shared" si="48"/>
        <v>Totex variant allowances allocation percentages</v>
      </c>
    </row>
    <row r="392" spans="5:56">
      <c r="E392" s="212" t="str" cm="1">
        <f t="array" ref="E392">INDEX($E$128:$E$170,INT((ROW()-ROW($E$173))/6)+1)</f>
        <v>Spare 2</v>
      </c>
      <c r="G392" s="43" t="s">
        <v>33</v>
      </c>
      <c r="H392" s="43" t="s">
        <v>275</v>
      </c>
      <c r="AU392" s="165"/>
      <c r="AV392" s="32"/>
      <c r="AW392" s="32"/>
      <c r="AX392" s="32"/>
      <c r="AY392" s="213"/>
      <c r="BA392" s="44" t="str">
        <f t="shared" ca="1" si="49"/>
        <v>NGT_TO</v>
      </c>
      <c r="BB392" s="44" t="str">
        <f t="shared" si="47"/>
        <v>Fixed Inputs</v>
      </c>
      <c r="BC392" s="44" t="str">
        <f t="shared" si="50"/>
        <v>Variant allowances</v>
      </c>
      <c r="BD392" s="44" t="str">
        <f t="shared" si="48"/>
        <v>Totex variant allowances allocation percentages</v>
      </c>
    </row>
    <row r="393" spans="5:56">
      <c r="E393" s="212" t="str" cm="1">
        <f t="array" ref="E393">INDEX($E$128:$E$170,INT((ROW()-ROW($E$173))/6)+1)</f>
        <v>Spare 2</v>
      </c>
      <c r="G393" s="43" t="s">
        <v>33</v>
      </c>
      <c r="H393" s="43" t="s">
        <v>273</v>
      </c>
      <c r="AU393" s="165"/>
      <c r="AV393" s="32"/>
      <c r="AW393" s="32"/>
      <c r="AX393" s="32"/>
      <c r="AY393" s="213"/>
      <c r="BA393" s="44" t="str">
        <f t="shared" ca="1" si="49"/>
        <v>NGT_TO</v>
      </c>
      <c r="BB393" s="44" t="str">
        <f t="shared" si="47"/>
        <v>Fixed Inputs</v>
      </c>
      <c r="BC393" s="44" t="str">
        <f t="shared" si="50"/>
        <v>Variant allowances</v>
      </c>
      <c r="BD393" s="44" t="str">
        <f t="shared" si="48"/>
        <v>Totex variant allowances allocation percentages</v>
      </c>
    </row>
    <row r="394" spans="5:56">
      <c r="E394" s="201" t="str" cm="1">
        <f t="array" ref="E394">INDEX($E$128:$E$170,INT((ROW()-ROW($E$173))/6)+1)</f>
        <v>Spare 2</v>
      </c>
      <c r="F394" s="202"/>
      <c r="G394" s="202" t="s">
        <v>33</v>
      </c>
      <c r="H394" s="202" t="s">
        <v>274</v>
      </c>
      <c r="I394" s="202"/>
      <c r="J394" s="202"/>
      <c r="K394" s="202"/>
      <c r="L394" s="202"/>
      <c r="M394" s="202"/>
      <c r="N394" s="202"/>
      <c r="O394" s="202"/>
      <c r="P394" s="202"/>
      <c r="Q394" s="202"/>
      <c r="R394" s="202"/>
      <c r="S394" s="202"/>
      <c r="T394" s="202"/>
      <c r="U394" s="202"/>
      <c r="V394" s="202"/>
      <c r="W394" s="202"/>
      <c r="X394" s="202"/>
      <c r="Y394" s="202"/>
      <c r="Z394" s="202"/>
      <c r="AA394" s="202"/>
      <c r="AB394" s="202"/>
      <c r="AC394" s="202"/>
      <c r="AD394" s="202"/>
      <c r="AE394" s="202"/>
      <c r="AF394" s="202"/>
      <c r="AG394" s="202"/>
      <c r="AH394" s="202"/>
      <c r="AI394" s="202"/>
      <c r="AJ394" s="202"/>
      <c r="AK394" s="202"/>
      <c r="AL394" s="202"/>
      <c r="AM394" s="202"/>
      <c r="AN394" s="202"/>
      <c r="AO394" s="202"/>
      <c r="AP394" s="202"/>
      <c r="AQ394" s="202"/>
      <c r="AR394" s="202"/>
      <c r="AS394" s="202"/>
      <c r="AT394" s="203"/>
      <c r="AU394" s="214"/>
      <c r="AV394" s="215"/>
      <c r="AW394" s="215"/>
      <c r="AX394" s="215"/>
      <c r="AY394" s="216"/>
      <c r="BA394" s="44" t="str">
        <f t="shared" ca="1" si="49"/>
        <v>NGT_TO</v>
      </c>
      <c r="BB394" s="44" t="str">
        <f t="shared" si="47"/>
        <v>Fixed Inputs</v>
      </c>
      <c r="BC394" s="44" t="str">
        <f t="shared" si="50"/>
        <v>Variant allowances</v>
      </c>
      <c r="BD394" s="44" t="str">
        <f t="shared" si="48"/>
        <v>Totex variant allowances allocation percentages</v>
      </c>
    </row>
    <row r="395" spans="5:56">
      <c r="E395" s="195" t="str" cm="1">
        <f t="array" ref="E395">INDEX($E$128:$E$170,INT((ROW()-ROW($E$173))/6)+1)</f>
        <v>Spare 3</v>
      </c>
      <c r="F395" s="196"/>
      <c r="G395" s="196" t="s">
        <v>33</v>
      </c>
      <c r="H395" s="196" t="s">
        <v>331</v>
      </c>
      <c r="I395" s="196"/>
      <c r="J395" s="196"/>
      <c r="K395" s="196"/>
      <c r="L395" s="196"/>
      <c r="M395" s="196"/>
      <c r="N395" s="196"/>
      <c r="O395" s="196"/>
      <c r="P395" s="196"/>
      <c r="Q395" s="196"/>
      <c r="R395" s="196"/>
      <c r="S395" s="196"/>
      <c r="T395" s="196"/>
      <c r="U395" s="196"/>
      <c r="V395" s="196"/>
      <c r="W395" s="196"/>
      <c r="X395" s="196"/>
      <c r="Y395" s="196"/>
      <c r="Z395" s="196"/>
      <c r="AA395" s="196"/>
      <c r="AB395" s="196"/>
      <c r="AC395" s="196"/>
      <c r="AD395" s="196"/>
      <c r="AE395" s="196"/>
      <c r="AF395" s="196"/>
      <c r="AG395" s="196"/>
      <c r="AH395" s="196"/>
      <c r="AI395" s="196"/>
      <c r="AJ395" s="196"/>
      <c r="AK395" s="196"/>
      <c r="AL395" s="196"/>
      <c r="AM395" s="196"/>
      <c r="AN395" s="196"/>
      <c r="AO395" s="196"/>
      <c r="AP395" s="196"/>
      <c r="AQ395" s="196"/>
      <c r="AR395" s="196"/>
      <c r="AS395" s="196"/>
      <c r="AT395" s="197"/>
      <c r="AU395" s="209"/>
      <c r="AV395" s="210"/>
      <c r="AW395" s="210"/>
      <c r="AX395" s="210"/>
      <c r="AY395" s="211"/>
      <c r="BA395" s="44" t="str">
        <f t="shared" ca="1" si="49"/>
        <v>NGT_TO</v>
      </c>
      <c r="BB395" s="44" t="str">
        <f t="shared" si="47"/>
        <v>Fixed Inputs</v>
      </c>
      <c r="BC395" s="44" t="str">
        <f t="shared" si="50"/>
        <v>Variant allowances</v>
      </c>
      <c r="BD395" s="44" t="str">
        <f t="shared" si="48"/>
        <v>Totex variant allowances allocation percentages</v>
      </c>
    </row>
    <row r="396" spans="5:56">
      <c r="E396" s="212" t="str" cm="1">
        <f t="array" ref="E396">INDEX($E$128:$E$170,INT((ROW()-ROW($E$173))/6)+1)</f>
        <v>Spare 3</v>
      </c>
      <c r="G396" s="43" t="s">
        <v>33</v>
      </c>
      <c r="H396" s="43" t="s">
        <v>332</v>
      </c>
      <c r="AU396" s="165"/>
      <c r="AV396" s="32"/>
      <c r="AW396" s="32"/>
      <c r="AX396" s="32"/>
      <c r="AY396" s="213"/>
      <c r="BA396" s="44" t="str">
        <f t="shared" ca="1" si="49"/>
        <v>NGT_TO</v>
      </c>
      <c r="BB396" s="44" t="str">
        <f t="shared" si="47"/>
        <v>Fixed Inputs</v>
      </c>
      <c r="BC396" s="44" t="str">
        <f t="shared" si="50"/>
        <v>Variant allowances</v>
      </c>
      <c r="BD396" s="44" t="str">
        <f t="shared" si="48"/>
        <v>Totex variant allowances allocation percentages</v>
      </c>
    </row>
    <row r="397" spans="5:56">
      <c r="E397" s="212" t="str" cm="1">
        <f t="array" ref="E397">INDEX($E$128:$E$170,INT((ROW()-ROW($E$173))/6)+1)</f>
        <v>Spare 3</v>
      </c>
      <c r="G397" s="43" t="s">
        <v>33</v>
      </c>
      <c r="H397" s="43" t="s">
        <v>333</v>
      </c>
      <c r="AU397" s="165"/>
      <c r="AV397" s="32"/>
      <c r="AW397" s="32"/>
      <c r="AX397" s="32"/>
      <c r="AY397" s="213"/>
      <c r="BA397" s="44" t="str">
        <f t="shared" ca="1" si="49"/>
        <v>NGT_TO</v>
      </c>
      <c r="BB397" s="44" t="str">
        <f t="shared" si="47"/>
        <v>Fixed Inputs</v>
      </c>
      <c r="BC397" s="44" t="str">
        <f t="shared" si="50"/>
        <v>Variant allowances</v>
      </c>
      <c r="BD397" s="44" t="str">
        <f t="shared" si="48"/>
        <v>Totex variant allowances allocation percentages</v>
      </c>
    </row>
    <row r="398" spans="5:56">
      <c r="E398" s="212" t="str" cm="1">
        <f t="array" ref="E398">INDEX($E$128:$E$170,INT((ROW()-ROW($E$173))/6)+1)</f>
        <v>Spare 3</v>
      </c>
      <c r="G398" s="43" t="s">
        <v>33</v>
      </c>
      <c r="H398" s="43" t="s">
        <v>275</v>
      </c>
      <c r="AU398" s="165"/>
      <c r="AV398" s="32"/>
      <c r="AW398" s="32"/>
      <c r="AX398" s="32"/>
      <c r="AY398" s="213"/>
      <c r="BA398" s="44" t="str">
        <f t="shared" ca="1" si="49"/>
        <v>NGT_TO</v>
      </c>
      <c r="BB398" s="44" t="str">
        <f t="shared" si="47"/>
        <v>Fixed Inputs</v>
      </c>
      <c r="BC398" s="44" t="str">
        <f t="shared" si="50"/>
        <v>Variant allowances</v>
      </c>
      <c r="BD398" s="44" t="str">
        <f t="shared" si="48"/>
        <v>Totex variant allowances allocation percentages</v>
      </c>
    </row>
    <row r="399" spans="5:56">
      <c r="E399" s="212" t="str" cm="1">
        <f t="array" ref="E399">INDEX($E$128:$E$170,INT((ROW()-ROW($E$173))/6)+1)</f>
        <v>Spare 3</v>
      </c>
      <c r="G399" s="43" t="s">
        <v>33</v>
      </c>
      <c r="H399" s="43" t="s">
        <v>273</v>
      </c>
      <c r="AU399" s="165"/>
      <c r="AV399" s="32"/>
      <c r="AW399" s="32"/>
      <c r="AX399" s="32"/>
      <c r="AY399" s="213"/>
      <c r="BA399" s="44" t="str">
        <f t="shared" ca="1" si="49"/>
        <v>NGT_TO</v>
      </c>
      <c r="BB399" s="44" t="str">
        <f t="shared" si="47"/>
        <v>Fixed Inputs</v>
      </c>
      <c r="BC399" s="44" t="str">
        <f t="shared" si="50"/>
        <v>Variant allowances</v>
      </c>
      <c r="BD399" s="44" t="str">
        <f t="shared" si="48"/>
        <v>Totex variant allowances allocation percentages</v>
      </c>
    </row>
    <row r="400" spans="5:56">
      <c r="E400" s="201" t="str" cm="1">
        <f t="array" ref="E400">INDEX($E$128:$E$170,INT((ROW()-ROW($E$173))/6)+1)</f>
        <v>Spare 3</v>
      </c>
      <c r="F400" s="202"/>
      <c r="G400" s="202" t="s">
        <v>33</v>
      </c>
      <c r="H400" s="202" t="s">
        <v>274</v>
      </c>
      <c r="I400" s="202"/>
      <c r="J400" s="202"/>
      <c r="K400" s="202"/>
      <c r="L400" s="202"/>
      <c r="M400" s="202"/>
      <c r="N400" s="202"/>
      <c r="O400" s="202"/>
      <c r="P400" s="202"/>
      <c r="Q400" s="202"/>
      <c r="R400" s="202"/>
      <c r="S400" s="202"/>
      <c r="T400" s="202"/>
      <c r="U400" s="202"/>
      <c r="V400" s="202"/>
      <c r="W400" s="202"/>
      <c r="X400" s="202"/>
      <c r="Y400" s="202"/>
      <c r="Z400" s="202"/>
      <c r="AA400" s="202"/>
      <c r="AB400" s="202"/>
      <c r="AC400" s="202"/>
      <c r="AD400" s="202"/>
      <c r="AE400" s="202"/>
      <c r="AF400" s="202"/>
      <c r="AG400" s="202"/>
      <c r="AH400" s="202"/>
      <c r="AI400" s="202"/>
      <c r="AJ400" s="202"/>
      <c r="AK400" s="202"/>
      <c r="AL400" s="202"/>
      <c r="AM400" s="202"/>
      <c r="AN400" s="202"/>
      <c r="AO400" s="202"/>
      <c r="AP400" s="202"/>
      <c r="AQ400" s="202"/>
      <c r="AR400" s="202"/>
      <c r="AS400" s="202"/>
      <c r="AT400" s="203"/>
      <c r="AU400" s="214"/>
      <c r="AV400" s="215"/>
      <c r="AW400" s="215"/>
      <c r="AX400" s="215"/>
      <c r="AY400" s="216"/>
      <c r="BA400" s="44" t="str">
        <f t="shared" ca="1" si="49"/>
        <v>NGT_TO</v>
      </c>
      <c r="BB400" s="44" t="str">
        <f t="shared" si="47"/>
        <v>Fixed Inputs</v>
      </c>
      <c r="BC400" s="44" t="str">
        <f t="shared" si="50"/>
        <v>Variant allowances</v>
      </c>
      <c r="BD400" s="44" t="str">
        <f t="shared" si="48"/>
        <v>Totex variant allowances allocation percentages</v>
      </c>
    </row>
    <row r="401" spans="5:56">
      <c r="E401" s="195" t="str" cm="1">
        <f t="array" ref="E401">INDEX($E$128:$E$170,INT((ROW()-ROW($E$173))/6)+1)</f>
        <v>Spare 4</v>
      </c>
      <c r="F401" s="196"/>
      <c r="G401" s="196" t="s">
        <v>33</v>
      </c>
      <c r="H401" s="196" t="s">
        <v>331</v>
      </c>
      <c r="I401" s="196"/>
      <c r="J401" s="196"/>
      <c r="K401" s="196"/>
      <c r="L401" s="196"/>
      <c r="M401" s="196"/>
      <c r="N401" s="196"/>
      <c r="O401" s="196"/>
      <c r="P401" s="196"/>
      <c r="Q401" s="196"/>
      <c r="R401" s="196"/>
      <c r="S401" s="196"/>
      <c r="T401" s="196"/>
      <c r="U401" s="196"/>
      <c r="V401" s="196"/>
      <c r="W401" s="196"/>
      <c r="X401" s="196"/>
      <c r="Y401" s="196"/>
      <c r="Z401" s="196"/>
      <c r="AA401" s="196"/>
      <c r="AB401" s="196"/>
      <c r="AC401" s="196"/>
      <c r="AD401" s="196"/>
      <c r="AE401" s="196"/>
      <c r="AF401" s="196"/>
      <c r="AG401" s="196"/>
      <c r="AH401" s="196"/>
      <c r="AI401" s="196"/>
      <c r="AJ401" s="196"/>
      <c r="AK401" s="196"/>
      <c r="AL401" s="196"/>
      <c r="AM401" s="196"/>
      <c r="AN401" s="196"/>
      <c r="AO401" s="196"/>
      <c r="AP401" s="196"/>
      <c r="AQ401" s="196"/>
      <c r="AR401" s="196"/>
      <c r="AS401" s="196"/>
      <c r="AT401" s="197"/>
      <c r="AU401" s="209"/>
      <c r="AV401" s="210"/>
      <c r="AW401" s="210"/>
      <c r="AX401" s="210"/>
      <c r="AY401" s="211"/>
      <c r="BA401" s="44" t="str">
        <f t="shared" ca="1" si="49"/>
        <v>NGT_TO</v>
      </c>
      <c r="BB401" s="44" t="str">
        <f t="shared" si="47"/>
        <v>Fixed Inputs</v>
      </c>
      <c r="BC401" s="44" t="str">
        <f t="shared" si="50"/>
        <v>Variant allowances</v>
      </c>
      <c r="BD401" s="44" t="str">
        <f t="shared" si="48"/>
        <v>Totex variant allowances allocation percentages</v>
      </c>
    </row>
    <row r="402" spans="5:56">
      <c r="E402" s="212" t="str" cm="1">
        <f t="array" ref="E402">INDEX($E$128:$E$170,INT((ROW()-ROW($E$173))/6)+1)</f>
        <v>Spare 4</v>
      </c>
      <c r="G402" s="43" t="s">
        <v>33</v>
      </c>
      <c r="H402" s="43" t="s">
        <v>332</v>
      </c>
      <c r="AU402" s="165"/>
      <c r="AV402" s="32"/>
      <c r="AW402" s="32"/>
      <c r="AX402" s="32"/>
      <c r="AY402" s="213"/>
      <c r="BA402" s="44" t="str">
        <f t="shared" ca="1" si="49"/>
        <v>NGT_TO</v>
      </c>
      <c r="BB402" s="44" t="str">
        <f t="shared" si="47"/>
        <v>Fixed Inputs</v>
      </c>
      <c r="BC402" s="44" t="str">
        <f t="shared" si="50"/>
        <v>Variant allowances</v>
      </c>
      <c r="BD402" s="44" t="str">
        <f t="shared" si="48"/>
        <v>Totex variant allowances allocation percentages</v>
      </c>
    </row>
    <row r="403" spans="5:56">
      <c r="E403" s="212" t="str" cm="1">
        <f t="array" ref="E403">INDEX($E$128:$E$170,INT((ROW()-ROW($E$173))/6)+1)</f>
        <v>Spare 4</v>
      </c>
      <c r="G403" s="43" t="s">
        <v>33</v>
      </c>
      <c r="H403" s="43" t="s">
        <v>333</v>
      </c>
      <c r="AU403" s="165"/>
      <c r="AV403" s="32"/>
      <c r="AW403" s="32"/>
      <c r="AX403" s="32"/>
      <c r="AY403" s="213"/>
      <c r="BA403" s="44" t="str">
        <f t="shared" ca="1" si="49"/>
        <v>NGT_TO</v>
      </c>
      <c r="BB403" s="44" t="str">
        <f t="shared" si="47"/>
        <v>Fixed Inputs</v>
      </c>
      <c r="BC403" s="44" t="str">
        <f t="shared" si="50"/>
        <v>Variant allowances</v>
      </c>
      <c r="BD403" s="44" t="str">
        <f t="shared" si="48"/>
        <v>Totex variant allowances allocation percentages</v>
      </c>
    </row>
    <row r="404" spans="5:56">
      <c r="E404" s="212" t="str" cm="1">
        <f t="array" ref="E404">INDEX($E$128:$E$170,INT((ROW()-ROW($E$173))/6)+1)</f>
        <v>Spare 4</v>
      </c>
      <c r="G404" s="43" t="s">
        <v>33</v>
      </c>
      <c r="H404" s="43" t="s">
        <v>275</v>
      </c>
      <c r="AU404" s="165"/>
      <c r="AV404" s="32"/>
      <c r="AW404" s="32"/>
      <c r="AX404" s="32"/>
      <c r="AY404" s="213"/>
      <c r="BA404" s="44" t="str">
        <f t="shared" ca="1" si="49"/>
        <v>NGT_TO</v>
      </c>
      <c r="BB404" s="44" t="str">
        <f t="shared" si="47"/>
        <v>Fixed Inputs</v>
      </c>
      <c r="BC404" s="44" t="str">
        <f t="shared" si="50"/>
        <v>Variant allowances</v>
      </c>
      <c r="BD404" s="44" t="str">
        <f t="shared" si="48"/>
        <v>Totex variant allowances allocation percentages</v>
      </c>
    </row>
    <row r="405" spans="5:56">
      <c r="E405" s="212" t="str" cm="1">
        <f t="array" ref="E405">INDEX($E$128:$E$170,INT((ROW()-ROW($E$173))/6)+1)</f>
        <v>Spare 4</v>
      </c>
      <c r="G405" s="43" t="s">
        <v>33</v>
      </c>
      <c r="H405" s="43" t="s">
        <v>273</v>
      </c>
      <c r="AU405" s="165"/>
      <c r="AV405" s="32"/>
      <c r="AW405" s="32"/>
      <c r="AX405" s="32"/>
      <c r="AY405" s="213"/>
      <c r="BA405" s="44" t="str">
        <f t="shared" ca="1" si="49"/>
        <v>NGT_TO</v>
      </c>
      <c r="BB405" s="44" t="str">
        <f t="shared" si="47"/>
        <v>Fixed Inputs</v>
      </c>
      <c r="BC405" s="44" t="str">
        <f t="shared" si="50"/>
        <v>Variant allowances</v>
      </c>
      <c r="BD405" s="44" t="str">
        <f t="shared" si="48"/>
        <v>Totex variant allowances allocation percentages</v>
      </c>
    </row>
    <row r="406" spans="5:56">
      <c r="E406" s="201" t="str" cm="1">
        <f t="array" ref="E406">INDEX($E$128:$E$170,INT((ROW()-ROW($E$173))/6)+1)</f>
        <v>Spare 4</v>
      </c>
      <c r="F406" s="202"/>
      <c r="G406" s="202" t="s">
        <v>33</v>
      </c>
      <c r="H406" s="202" t="s">
        <v>274</v>
      </c>
      <c r="I406" s="202"/>
      <c r="J406" s="202"/>
      <c r="K406" s="202"/>
      <c r="L406" s="202"/>
      <c r="M406" s="202"/>
      <c r="N406" s="202"/>
      <c r="O406" s="202"/>
      <c r="P406" s="202"/>
      <c r="Q406" s="202"/>
      <c r="R406" s="202"/>
      <c r="S406" s="202"/>
      <c r="T406" s="202"/>
      <c r="U406" s="202"/>
      <c r="V406" s="202"/>
      <c r="W406" s="202"/>
      <c r="X406" s="202"/>
      <c r="Y406" s="202"/>
      <c r="Z406" s="202"/>
      <c r="AA406" s="202"/>
      <c r="AB406" s="202"/>
      <c r="AC406" s="202"/>
      <c r="AD406" s="202"/>
      <c r="AE406" s="202"/>
      <c r="AF406" s="202"/>
      <c r="AG406" s="202"/>
      <c r="AH406" s="202"/>
      <c r="AI406" s="202"/>
      <c r="AJ406" s="202"/>
      <c r="AK406" s="202"/>
      <c r="AL406" s="202"/>
      <c r="AM406" s="202"/>
      <c r="AN406" s="202"/>
      <c r="AO406" s="202"/>
      <c r="AP406" s="202"/>
      <c r="AQ406" s="202"/>
      <c r="AR406" s="202"/>
      <c r="AS406" s="202"/>
      <c r="AT406" s="203"/>
      <c r="AU406" s="214"/>
      <c r="AV406" s="215"/>
      <c r="AW406" s="215"/>
      <c r="AX406" s="215"/>
      <c r="AY406" s="216"/>
      <c r="BA406" s="44" t="str">
        <f t="shared" ca="1" si="49"/>
        <v>NGT_TO</v>
      </c>
      <c r="BB406" s="44" t="str">
        <f t="shared" si="47"/>
        <v>Fixed Inputs</v>
      </c>
      <c r="BC406" s="44" t="str">
        <f t="shared" si="50"/>
        <v>Variant allowances</v>
      </c>
      <c r="BD406" s="44" t="str">
        <f t="shared" si="48"/>
        <v>Totex variant allowances allocation percentages</v>
      </c>
    </row>
    <row r="407" spans="5:56">
      <c r="E407" s="195" t="str" cm="1">
        <f t="array" ref="E407">INDEX($E$128:$E$170,INT((ROW()-ROW($E$173))/6)+1)</f>
        <v>Spare 5</v>
      </c>
      <c r="F407" s="196"/>
      <c r="G407" s="196" t="s">
        <v>33</v>
      </c>
      <c r="H407" s="196" t="s">
        <v>331</v>
      </c>
      <c r="I407" s="196"/>
      <c r="J407" s="196"/>
      <c r="K407" s="196"/>
      <c r="L407" s="196"/>
      <c r="M407" s="196"/>
      <c r="N407" s="196"/>
      <c r="O407" s="196"/>
      <c r="P407" s="196"/>
      <c r="Q407" s="196"/>
      <c r="R407" s="196"/>
      <c r="S407" s="196"/>
      <c r="T407" s="196"/>
      <c r="U407" s="196"/>
      <c r="V407" s="196"/>
      <c r="W407" s="196"/>
      <c r="X407" s="196"/>
      <c r="Y407" s="196"/>
      <c r="Z407" s="196"/>
      <c r="AA407" s="196"/>
      <c r="AB407" s="196"/>
      <c r="AC407" s="196"/>
      <c r="AD407" s="196"/>
      <c r="AE407" s="196"/>
      <c r="AF407" s="196"/>
      <c r="AG407" s="196"/>
      <c r="AH407" s="196"/>
      <c r="AI407" s="196"/>
      <c r="AJ407" s="196"/>
      <c r="AK407" s="196"/>
      <c r="AL407" s="196"/>
      <c r="AM407" s="196"/>
      <c r="AN407" s="196"/>
      <c r="AO407" s="196"/>
      <c r="AP407" s="196"/>
      <c r="AQ407" s="196"/>
      <c r="AR407" s="196"/>
      <c r="AS407" s="196"/>
      <c r="AT407" s="197"/>
      <c r="AU407" s="209"/>
      <c r="AV407" s="210"/>
      <c r="AW407" s="210"/>
      <c r="AX407" s="210"/>
      <c r="AY407" s="211"/>
      <c r="BA407" s="44" t="str">
        <f t="shared" ca="1" si="49"/>
        <v>NGT_TO</v>
      </c>
      <c r="BB407" s="44" t="str">
        <f t="shared" si="47"/>
        <v>Fixed Inputs</v>
      </c>
      <c r="BC407" s="44" t="str">
        <f t="shared" si="50"/>
        <v>Variant allowances</v>
      </c>
      <c r="BD407" s="44" t="str">
        <f t="shared" si="48"/>
        <v>Totex variant allowances allocation percentages</v>
      </c>
    </row>
    <row r="408" spans="5:56">
      <c r="E408" s="212" t="str" cm="1">
        <f t="array" ref="E408">INDEX($E$128:$E$170,INT((ROW()-ROW($E$173))/6)+1)</f>
        <v>Spare 5</v>
      </c>
      <c r="G408" s="43" t="s">
        <v>33</v>
      </c>
      <c r="H408" s="43" t="s">
        <v>332</v>
      </c>
      <c r="AU408" s="165"/>
      <c r="AV408" s="32"/>
      <c r="AW408" s="32"/>
      <c r="AX408" s="32"/>
      <c r="AY408" s="213"/>
      <c r="BA408" s="44" t="str">
        <f t="shared" ca="1" si="49"/>
        <v>NGT_TO</v>
      </c>
      <c r="BB408" s="44" t="str">
        <f t="shared" si="47"/>
        <v>Fixed Inputs</v>
      </c>
      <c r="BC408" s="44" t="str">
        <f t="shared" si="50"/>
        <v>Variant allowances</v>
      </c>
      <c r="BD408" s="44" t="str">
        <f t="shared" si="48"/>
        <v>Totex variant allowances allocation percentages</v>
      </c>
    </row>
    <row r="409" spans="5:56">
      <c r="E409" s="212" t="str" cm="1">
        <f t="array" ref="E409">INDEX($E$128:$E$170,INT((ROW()-ROW($E$173))/6)+1)</f>
        <v>Spare 5</v>
      </c>
      <c r="G409" s="43" t="s">
        <v>33</v>
      </c>
      <c r="H409" s="43" t="s">
        <v>333</v>
      </c>
      <c r="AU409" s="165"/>
      <c r="AV409" s="32"/>
      <c r="AW409" s="32"/>
      <c r="AX409" s="32"/>
      <c r="AY409" s="213"/>
      <c r="BA409" s="44" t="str">
        <f t="shared" ca="1" si="49"/>
        <v>NGT_TO</v>
      </c>
      <c r="BB409" s="44" t="str">
        <f t="shared" si="47"/>
        <v>Fixed Inputs</v>
      </c>
      <c r="BC409" s="44" t="str">
        <f t="shared" si="50"/>
        <v>Variant allowances</v>
      </c>
      <c r="BD409" s="44" t="str">
        <f t="shared" si="48"/>
        <v>Totex variant allowances allocation percentages</v>
      </c>
    </row>
    <row r="410" spans="5:56">
      <c r="E410" s="212" t="str" cm="1">
        <f t="array" ref="E410">INDEX($E$128:$E$170,INT((ROW()-ROW($E$173))/6)+1)</f>
        <v>Spare 5</v>
      </c>
      <c r="G410" s="43" t="s">
        <v>33</v>
      </c>
      <c r="H410" s="43" t="s">
        <v>275</v>
      </c>
      <c r="AU410" s="165"/>
      <c r="AV410" s="32"/>
      <c r="AW410" s="32"/>
      <c r="AX410" s="32"/>
      <c r="AY410" s="213"/>
      <c r="BA410" s="44" t="str">
        <f t="shared" ca="1" si="49"/>
        <v>NGT_TO</v>
      </c>
      <c r="BB410" s="44" t="str">
        <f t="shared" si="47"/>
        <v>Fixed Inputs</v>
      </c>
      <c r="BC410" s="44" t="str">
        <f t="shared" si="50"/>
        <v>Variant allowances</v>
      </c>
      <c r="BD410" s="44" t="str">
        <f t="shared" si="48"/>
        <v>Totex variant allowances allocation percentages</v>
      </c>
    </row>
    <row r="411" spans="5:56">
      <c r="E411" s="212" t="str" cm="1">
        <f t="array" ref="E411">INDEX($E$128:$E$170,INT((ROW()-ROW($E$173))/6)+1)</f>
        <v>Spare 5</v>
      </c>
      <c r="G411" s="43" t="s">
        <v>33</v>
      </c>
      <c r="H411" s="43" t="s">
        <v>273</v>
      </c>
      <c r="AU411" s="165"/>
      <c r="AV411" s="32"/>
      <c r="AW411" s="32"/>
      <c r="AX411" s="32"/>
      <c r="AY411" s="213"/>
      <c r="BA411" s="44" t="str">
        <f t="shared" ca="1" si="49"/>
        <v>NGT_TO</v>
      </c>
      <c r="BB411" s="44" t="str">
        <f t="shared" si="47"/>
        <v>Fixed Inputs</v>
      </c>
      <c r="BC411" s="44" t="str">
        <f t="shared" si="50"/>
        <v>Variant allowances</v>
      </c>
      <c r="BD411" s="44" t="str">
        <f t="shared" si="48"/>
        <v>Totex variant allowances allocation percentages</v>
      </c>
    </row>
    <row r="412" spans="5:56">
      <c r="E412" s="201" t="str" cm="1">
        <f t="array" ref="E412">INDEX($E$128:$E$170,INT((ROW()-ROW($E$173))/6)+1)</f>
        <v>Spare 5</v>
      </c>
      <c r="F412" s="202"/>
      <c r="G412" s="202" t="s">
        <v>33</v>
      </c>
      <c r="H412" s="202" t="s">
        <v>274</v>
      </c>
      <c r="I412" s="202"/>
      <c r="J412" s="202"/>
      <c r="K412" s="202"/>
      <c r="L412" s="202"/>
      <c r="M412" s="202"/>
      <c r="N412" s="202"/>
      <c r="O412" s="202"/>
      <c r="P412" s="202"/>
      <c r="Q412" s="202"/>
      <c r="R412" s="202"/>
      <c r="S412" s="202"/>
      <c r="T412" s="202"/>
      <c r="U412" s="202"/>
      <c r="V412" s="202"/>
      <c r="W412" s="202"/>
      <c r="X412" s="202"/>
      <c r="Y412" s="202"/>
      <c r="Z412" s="202"/>
      <c r="AA412" s="202"/>
      <c r="AB412" s="202"/>
      <c r="AC412" s="202"/>
      <c r="AD412" s="202"/>
      <c r="AE412" s="202"/>
      <c r="AF412" s="202"/>
      <c r="AG412" s="202"/>
      <c r="AH412" s="202"/>
      <c r="AI412" s="202"/>
      <c r="AJ412" s="202"/>
      <c r="AK412" s="202"/>
      <c r="AL412" s="202"/>
      <c r="AM412" s="202"/>
      <c r="AN412" s="202"/>
      <c r="AO412" s="202"/>
      <c r="AP412" s="202"/>
      <c r="AQ412" s="202"/>
      <c r="AR412" s="202"/>
      <c r="AS412" s="202"/>
      <c r="AT412" s="203"/>
      <c r="AU412" s="214"/>
      <c r="AV412" s="215"/>
      <c r="AW412" s="215"/>
      <c r="AX412" s="215"/>
      <c r="AY412" s="216"/>
      <c r="BA412" s="44" t="str">
        <f t="shared" ca="1" si="49"/>
        <v>NGT_TO</v>
      </c>
      <c r="BB412" s="44" t="str">
        <f t="shared" si="47"/>
        <v>Fixed Inputs</v>
      </c>
      <c r="BC412" s="44" t="str">
        <f t="shared" si="50"/>
        <v>Variant allowances</v>
      </c>
      <c r="BD412" s="44" t="str">
        <f t="shared" si="48"/>
        <v>Totex variant allowances allocation percentages</v>
      </c>
    </row>
    <row r="413" spans="5:56">
      <c r="E413" s="195" t="str" cm="1">
        <f t="array" ref="E413">INDEX($E$128:$E$170,INT((ROW()-ROW($E$173))/6)+1)</f>
        <v>Spare 6</v>
      </c>
      <c r="F413" s="196"/>
      <c r="G413" s="196" t="s">
        <v>33</v>
      </c>
      <c r="H413" s="196" t="s">
        <v>331</v>
      </c>
      <c r="I413" s="196"/>
      <c r="J413" s="196"/>
      <c r="K413" s="196"/>
      <c r="L413" s="196"/>
      <c r="M413" s="196"/>
      <c r="N413" s="196"/>
      <c r="O413" s="196"/>
      <c r="P413" s="196"/>
      <c r="Q413" s="196"/>
      <c r="R413" s="196"/>
      <c r="S413" s="196"/>
      <c r="T413" s="196"/>
      <c r="U413" s="196"/>
      <c r="V413" s="196"/>
      <c r="W413" s="196"/>
      <c r="X413" s="196"/>
      <c r="Y413" s="196"/>
      <c r="Z413" s="196"/>
      <c r="AA413" s="196"/>
      <c r="AB413" s="196"/>
      <c r="AC413" s="196"/>
      <c r="AD413" s="196"/>
      <c r="AE413" s="196"/>
      <c r="AF413" s="196"/>
      <c r="AG413" s="196"/>
      <c r="AH413" s="196"/>
      <c r="AI413" s="196"/>
      <c r="AJ413" s="196"/>
      <c r="AK413" s="196"/>
      <c r="AL413" s="196"/>
      <c r="AM413" s="196"/>
      <c r="AN413" s="196"/>
      <c r="AO413" s="196"/>
      <c r="AP413" s="196"/>
      <c r="AQ413" s="196"/>
      <c r="AR413" s="196"/>
      <c r="AS413" s="196"/>
      <c r="AT413" s="197"/>
      <c r="AU413" s="209"/>
      <c r="AV413" s="210"/>
      <c r="AW413" s="210"/>
      <c r="AX413" s="210"/>
      <c r="AY413" s="211"/>
      <c r="BA413" s="44" t="str">
        <f t="shared" ca="1" si="49"/>
        <v>NGT_TO</v>
      </c>
      <c r="BB413" s="44" t="str">
        <f t="shared" si="47"/>
        <v>Fixed Inputs</v>
      </c>
      <c r="BC413" s="44" t="str">
        <f t="shared" si="50"/>
        <v>Variant allowances</v>
      </c>
      <c r="BD413" s="44" t="str">
        <f t="shared" si="48"/>
        <v>Totex variant allowances allocation percentages</v>
      </c>
    </row>
    <row r="414" spans="5:56">
      <c r="E414" s="212" t="str" cm="1">
        <f t="array" ref="E414">INDEX($E$128:$E$170,INT((ROW()-ROW($E$173))/6)+1)</f>
        <v>Spare 6</v>
      </c>
      <c r="G414" s="43" t="s">
        <v>33</v>
      </c>
      <c r="H414" s="43" t="s">
        <v>332</v>
      </c>
      <c r="AU414" s="165"/>
      <c r="AV414" s="32"/>
      <c r="AW414" s="32"/>
      <c r="AX414" s="32"/>
      <c r="AY414" s="213"/>
      <c r="BA414" s="44" t="str">
        <f t="shared" ca="1" si="49"/>
        <v>NGT_TO</v>
      </c>
      <c r="BB414" s="44" t="str">
        <f t="shared" si="47"/>
        <v>Fixed Inputs</v>
      </c>
      <c r="BC414" s="44" t="str">
        <f t="shared" si="50"/>
        <v>Variant allowances</v>
      </c>
      <c r="BD414" s="44" t="str">
        <f t="shared" si="48"/>
        <v>Totex variant allowances allocation percentages</v>
      </c>
    </row>
    <row r="415" spans="5:56">
      <c r="E415" s="212" t="str" cm="1">
        <f t="array" ref="E415">INDEX($E$128:$E$170,INT((ROW()-ROW($E$173))/6)+1)</f>
        <v>Spare 6</v>
      </c>
      <c r="G415" s="43" t="s">
        <v>33</v>
      </c>
      <c r="H415" s="43" t="s">
        <v>333</v>
      </c>
      <c r="AU415" s="165"/>
      <c r="AV415" s="32"/>
      <c r="AW415" s="32"/>
      <c r="AX415" s="32"/>
      <c r="AY415" s="213"/>
      <c r="BA415" s="44" t="str">
        <f t="shared" ca="1" si="49"/>
        <v>NGT_TO</v>
      </c>
      <c r="BB415" s="44" t="str">
        <f t="shared" si="47"/>
        <v>Fixed Inputs</v>
      </c>
      <c r="BC415" s="44" t="str">
        <f t="shared" si="50"/>
        <v>Variant allowances</v>
      </c>
      <c r="BD415" s="44" t="str">
        <f t="shared" si="48"/>
        <v>Totex variant allowances allocation percentages</v>
      </c>
    </row>
    <row r="416" spans="5:56">
      <c r="E416" s="212" t="str" cm="1">
        <f t="array" ref="E416">INDEX($E$128:$E$170,INT((ROW()-ROW($E$173))/6)+1)</f>
        <v>Spare 6</v>
      </c>
      <c r="G416" s="43" t="s">
        <v>33</v>
      </c>
      <c r="H416" s="43" t="s">
        <v>275</v>
      </c>
      <c r="AU416" s="165"/>
      <c r="AV416" s="32"/>
      <c r="AW416" s="32"/>
      <c r="AX416" s="32"/>
      <c r="AY416" s="213"/>
      <c r="BA416" s="44" t="str">
        <f t="shared" ca="1" si="49"/>
        <v>NGT_TO</v>
      </c>
      <c r="BB416" s="44" t="str">
        <f t="shared" si="47"/>
        <v>Fixed Inputs</v>
      </c>
      <c r="BC416" s="44" t="str">
        <f t="shared" si="50"/>
        <v>Variant allowances</v>
      </c>
      <c r="BD416" s="44" t="str">
        <f t="shared" si="48"/>
        <v>Totex variant allowances allocation percentages</v>
      </c>
    </row>
    <row r="417" spans="2:56">
      <c r="E417" s="212" t="str" cm="1">
        <f t="array" ref="E417">INDEX($E$128:$E$170,INT((ROW()-ROW($E$173))/6)+1)</f>
        <v>Spare 6</v>
      </c>
      <c r="G417" s="43" t="s">
        <v>33</v>
      </c>
      <c r="H417" s="43" t="s">
        <v>273</v>
      </c>
      <c r="AU417" s="165"/>
      <c r="AV417" s="32"/>
      <c r="AW417" s="32"/>
      <c r="AX417" s="32"/>
      <c r="AY417" s="213"/>
      <c r="BA417" s="44" t="str">
        <f t="shared" ca="1" si="49"/>
        <v>NGT_TO</v>
      </c>
      <c r="BB417" s="44" t="str">
        <f t="shared" si="47"/>
        <v>Fixed Inputs</v>
      </c>
      <c r="BC417" s="44" t="str">
        <f t="shared" si="50"/>
        <v>Variant allowances</v>
      </c>
      <c r="BD417" s="44" t="str">
        <f t="shared" si="48"/>
        <v>Totex variant allowances allocation percentages</v>
      </c>
    </row>
    <row r="418" spans="2:56">
      <c r="E418" s="201" t="str" cm="1">
        <f t="array" ref="E418">INDEX($E$128:$E$170,INT((ROW()-ROW($E$173))/6)+1)</f>
        <v>Spare 6</v>
      </c>
      <c r="F418" s="202"/>
      <c r="G418" s="202" t="s">
        <v>33</v>
      </c>
      <c r="H418" s="202" t="s">
        <v>274</v>
      </c>
      <c r="I418" s="202"/>
      <c r="J418" s="202"/>
      <c r="K418" s="202"/>
      <c r="L418" s="202"/>
      <c r="M418" s="202"/>
      <c r="N418" s="202"/>
      <c r="O418" s="202"/>
      <c r="P418" s="202"/>
      <c r="Q418" s="202"/>
      <c r="R418" s="202"/>
      <c r="S418" s="202"/>
      <c r="T418" s="202"/>
      <c r="U418" s="202"/>
      <c r="V418" s="202"/>
      <c r="W418" s="202"/>
      <c r="X418" s="202"/>
      <c r="Y418" s="202"/>
      <c r="Z418" s="202"/>
      <c r="AA418" s="202"/>
      <c r="AB418" s="202"/>
      <c r="AC418" s="202"/>
      <c r="AD418" s="202"/>
      <c r="AE418" s="202"/>
      <c r="AF418" s="202"/>
      <c r="AG418" s="202"/>
      <c r="AH418" s="202"/>
      <c r="AI418" s="202"/>
      <c r="AJ418" s="202"/>
      <c r="AK418" s="202"/>
      <c r="AL418" s="202"/>
      <c r="AM418" s="202"/>
      <c r="AN418" s="202"/>
      <c r="AO418" s="202"/>
      <c r="AP418" s="202"/>
      <c r="AQ418" s="202"/>
      <c r="AR418" s="202"/>
      <c r="AS418" s="202"/>
      <c r="AT418" s="203"/>
      <c r="AU418" s="214"/>
      <c r="AV418" s="215"/>
      <c r="AW418" s="215"/>
      <c r="AX418" s="215"/>
      <c r="AY418" s="216"/>
      <c r="BA418" s="44" t="str">
        <f t="shared" ca="1" si="49"/>
        <v>NGT_TO</v>
      </c>
      <c r="BB418" s="44" t="str">
        <f t="shared" si="47"/>
        <v>Fixed Inputs</v>
      </c>
      <c r="BC418" s="44" t="str">
        <f t="shared" si="50"/>
        <v>Variant allowances</v>
      </c>
      <c r="BD418" s="44" t="str">
        <f t="shared" si="48"/>
        <v>Totex variant allowances allocation percentages</v>
      </c>
    </row>
    <row r="419" spans="2:56">
      <c r="E419" s="195" t="str" cm="1">
        <f t="array" ref="E419">INDEX($E$128:$E$170,INT((ROW()-ROW($E$173))/6)+1)</f>
        <v>Spare 7</v>
      </c>
      <c r="F419" s="196"/>
      <c r="G419" s="196" t="s">
        <v>33</v>
      </c>
      <c r="H419" s="196" t="s">
        <v>331</v>
      </c>
      <c r="I419" s="196"/>
      <c r="J419" s="196"/>
      <c r="K419" s="196"/>
      <c r="L419" s="196"/>
      <c r="M419" s="196"/>
      <c r="N419" s="196"/>
      <c r="O419" s="196"/>
      <c r="P419" s="196"/>
      <c r="Q419" s="196"/>
      <c r="R419" s="196"/>
      <c r="S419" s="196"/>
      <c r="T419" s="196"/>
      <c r="U419" s="196"/>
      <c r="V419" s="196"/>
      <c r="W419" s="196"/>
      <c r="X419" s="196"/>
      <c r="Y419" s="196"/>
      <c r="Z419" s="196"/>
      <c r="AA419" s="196"/>
      <c r="AB419" s="196"/>
      <c r="AC419" s="196"/>
      <c r="AD419" s="196"/>
      <c r="AE419" s="196"/>
      <c r="AF419" s="196"/>
      <c r="AG419" s="196"/>
      <c r="AH419" s="196"/>
      <c r="AI419" s="196"/>
      <c r="AJ419" s="196"/>
      <c r="AK419" s="196"/>
      <c r="AL419" s="196"/>
      <c r="AM419" s="196"/>
      <c r="AN419" s="196"/>
      <c r="AO419" s="196"/>
      <c r="AP419" s="196"/>
      <c r="AQ419" s="196"/>
      <c r="AR419" s="196"/>
      <c r="AS419" s="196"/>
      <c r="AT419" s="197"/>
      <c r="AU419" s="209"/>
      <c r="AV419" s="210"/>
      <c r="AW419" s="210"/>
      <c r="AX419" s="210"/>
      <c r="AY419" s="211"/>
      <c r="BA419" s="44" t="str">
        <f t="shared" ca="1" si="49"/>
        <v>NGT_TO</v>
      </c>
      <c r="BB419" s="44" t="str">
        <f t="shared" si="47"/>
        <v>Fixed Inputs</v>
      </c>
      <c r="BC419" s="44" t="str">
        <f t="shared" si="50"/>
        <v>Variant allowances</v>
      </c>
      <c r="BD419" s="44" t="str">
        <f t="shared" si="48"/>
        <v>Totex variant allowances allocation percentages</v>
      </c>
    </row>
    <row r="420" spans="2:56">
      <c r="E420" s="212" t="str" cm="1">
        <f t="array" ref="E420">INDEX($E$128:$E$170,INT((ROW()-ROW($E$173))/6)+1)</f>
        <v>Spare 7</v>
      </c>
      <c r="G420" s="43" t="s">
        <v>33</v>
      </c>
      <c r="H420" s="43" t="s">
        <v>332</v>
      </c>
      <c r="AU420" s="165"/>
      <c r="AV420" s="32"/>
      <c r="AW420" s="32"/>
      <c r="AX420" s="32"/>
      <c r="AY420" s="213"/>
      <c r="BA420" s="44" t="str">
        <f t="shared" ca="1" si="49"/>
        <v>NGT_TO</v>
      </c>
      <c r="BB420" s="44" t="str">
        <f t="shared" si="47"/>
        <v>Fixed Inputs</v>
      </c>
      <c r="BC420" s="44" t="str">
        <f t="shared" si="50"/>
        <v>Variant allowances</v>
      </c>
      <c r="BD420" s="44" t="str">
        <f t="shared" si="48"/>
        <v>Totex variant allowances allocation percentages</v>
      </c>
    </row>
    <row r="421" spans="2:56">
      <c r="E421" s="212" t="str" cm="1">
        <f t="array" ref="E421">INDEX($E$128:$E$170,INT((ROW()-ROW($E$173))/6)+1)</f>
        <v>Spare 7</v>
      </c>
      <c r="G421" s="43" t="s">
        <v>33</v>
      </c>
      <c r="H421" s="43" t="s">
        <v>333</v>
      </c>
      <c r="AU421" s="165"/>
      <c r="AV421" s="32"/>
      <c r="AW421" s="32"/>
      <c r="AX421" s="32"/>
      <c r="AY421" s="213"/>
      <c r="BA421" s="44" t="str">
        <f t="shared" ca="1" si="49"/>
        <v>NGT_TO</v>
      </c>
      <c r="BB421" s="44" t="str">
        <f t="shared" si="47"/>
        <v>Fixed Inputs</v>
      </c>
      <c r="BC421" s="44" t="str">
        <f t="shared" si="50"/>
        <v>Variant allowances</v>
      </c>
      <c r="BD421" s="44" t="str">
        <f t="shared" si="48"/>
        <v>Totex variant allowances allocation percentages</v>
      </c>
    </row>
    <row r="422" spans="2:56">
      <c r="E422" s="212" t="str" cm="1">
        <f t="array" ref="E422">INDEX($E$128:$E$170,INT((ROW()-ROW($E$173))/6)+1)</f>
        <v>Spare 7</v>
      </c>
      <c r="G422" s="43" t="s">
        <v>33</v>
      </c>
      <c r="H422" s="43" t="s">
        <v>275</v>
      </c>
      <c r="AU422" s="165"/>
      <c r="AV422" s="32"/>
      <c r="AW422" s="32"/>
      <c r="AX422" s="32"/>
      <c r="AY422" s="213"/>
      <c r="BA422" s="44" t="str">
        <f t="shared" ca="1" si="49"/>
        <v>NGT_TO</v>
      </c>
      <c r="BB422" s="44" t="str">
        <f t="shared" si="47"/>
        <v>Fixed Inputs</v>
      </c>
      <c r="BC422" s="44" t="str">
        <f t="shared" si="50"/>
        <v>Variant allowances</v>
      </c>
      <c r="BD422" s="44" t="str">
        <f t="shared" si="48"/>
        <v>Totex variant allowances allocation percentages</v>
      </c>
    </row>
    <row r="423" spans="2:56">
      <c r="E423" s="212" t="str" cm="1">
        <f t="array" ref="E423">INDEX($E$128:$E$170,INT((ROW()-ROW($E$173))/6)+1)</f>
        <v>Spare 7</v>
      </c>
      <c r="G423" s="43" t="s">
        <v>33</v>
      </c>
      <c r="H423" s="43" t="s">
        <v>273</v>
      </c>
      <c r="AU423" s="165"/>
      <c r="AV423" s="32"/>
      <c r="AW423" s="32"/>
      <c r="AX423" s="32"/>
      <c r="AY423" s="213"/>
      <c r="BA423" s="44" t="str">
        <f t="shared" ca="1" si="49"/>
        <v>NGT_TO</v>
      </c>
      <c r="BB423" s="44" t="str">
        <f t="shared" si="47"/>
        <v>Fixed Inputs</v>
      </c>
      <c r="BC423" s="44" t="str">
        <f t="shared" si="50"/>
        <v>Variant allowances</v>
      </c>
      <c r="BD423" s="44" t="str">
        <f t="shared" si="48"/>
        <v>Totex variant allowances allocation percentages</v>
      </c>
    </row>
    <row r="424" spans="2:56">
      <c r="E424" s="201" t="str" cm="1">
        <f t="array" ref="E424">INDEX($E$128:$E$170,INT((ROW()-ROW($E$173))/6)+1)</f>
        <v>Spare 7</v>
      </c>
      <c r="F424" s="202"/>
      <c r="G424" s="202" t="s">
        <v>33</v>
      </c>
      <c r="H424" s="202" t="s">
        <v>274</v>
      </c>
      <c r="I424" s="202"/>
      <c r="J424" s="202"/>
      <c r="K424" s="202"/>
      <c r="L424" s="202"/>
      <c r="M424" s="202"/>
      <c r="N424" s="202"/>
      <c r="O424" s="202"/>
      <c r="P424" s="202"/>
      <c r="Q424" s="202"/>
      <c r="R424" s="202"/>
      <c r="S424" s="202"/>
      <c r="T424" s="202"/>
      <c r="U424" s="202"/>
      <c r="V424" s="202"/>
      <c r="W424" s="202"/>
      <c r="X424" s="202"/>
      <c r="Y424" s="202"/>
      <c r="Z424" s="202"/>
      <c r="AA424" s="202"/>
      <c r="AB424" s="202"/>
      <c r="AC424" s="202"/>
      <c r="AD424" s="202"/>
      <c r="AE424" s="202"/>
      <c r="AF424" s="202"/>
      <c r="AG424" s="202"/>
      <c r="AH424" s="202"/>
      <c r="AI424" s="202"/>
      <c r="AJ424" s="202"/>
      <c r="AK424" s="202"/>
      <c r="AL424" s="202"/>
      <c r="AM424" s="202"/>
      <c r="AN424" s="202"/>
      <c r="AO424" s="202"/>
      <c r="AP424" s="202"/>
      <c r="AQ424" s="202"/>
      <c r="AR424" s="202"/>
      <c r="AS424" s="202"/>
      <c r="AT424" s="203"/>
      <c r="AU424" s="214"/>
      <c r="AV424" s="215"/>
      <c r="AW424" s="215"/>
      <c r="AX424" s="215"/>
      <c r="AY424" s="216"/>
      <c r="BA424" s="44" t="str">
        <f t="shared" ca="1" si="49"/>
        <v>NGT_TO</v>
      </c>
      <c r="BB424" s="44" t="str">
        <f t="shared" si="47"/>
        <v>Fixed Inputs</v>
      </c>
      <c r="BC424" s="44" t="str">
        <f t="shared" si="50"/>
        <v>Variant allowances</v>
      </c>
      <c r="BD424" s="44" t="str">
        <f t="shared" si="48"/>
        <v>Totex variant allowances allocation percentages</v>
      </c>
    </row>
    <row r="425" spans="2:56">
      <c r="E425" s="195" t="str" cm="1">
        <f t="array" ref="E425">INDEX($E$128:$E$170,INT((ROW()-ROW($E$173))/6)+1)</f>
        <v>Spare 8</v>
      </c>
      <c r="F425" s="196"/>
      <c r="G425" s="196" t="s">
        <v>33</v>
      </c>
      <c r="H425" s="196" t="s">
        <v>331</v>
      </c>
      <c r="I425" s="196"/>
      <c r="J425" s="196"/>
      <c r="K425" s="196"/>
      <c r="L425" s="196"/>
      <c r="M425" s="196"/>
      <c r="N425" s="196"/>
      <c r="O425" s="196"/>
      <c r="P425" s="196"/>
      <c r="Q425" s="196"/>
      <c r="R425" s="196"/>
      <c r="S425" s="196"/>
      <c r="T425" s="196"/>
      <c r="U425" s="196"/>
      <c r="V425" s="196"/>
      <c r="W425" s="196"/>
      <c r="X425" s="196"/>
      <c r="Y425" s="196"/>
      <c r="Z425" s="196"/>
      <c r="AA425" s="196"/>
      <c r="AB425" s="196"/>
      <c r="AC425" s="196"/>
      <c r="AD425" s="196"/>
      <c r="AE425" s="196"/>
      <c r="AF425" s="196"/>
      <c r="AG425" s="196"/>
      <c r="AH425" s="196"/>
      <c r="AI425" s="196"/>
      <c r="AJ425" s="196"/>
      <c r="AK425" s="196"/>
      <c r="AL425" s="196"/>
      <c r="AM425" s="196"/>
      <c r="AN425" s="196"/>
      <c r="AO425" s="196"/>
      <c r="AP425" s="196"/>
      <c r="AQ425" s="196"/>
      <c r="AR425" s="196"/>
      <c r="AS425" s="196"/>
      <c r="AT425" s="197"/>
      <c r="AU425" s="209"/>
      <c r="AV425" s="210"/>
      <c r="AW425" s="210"/>
      <c r="AX425" s="210"/>
      <c r="AY425" s="211"/>
      <c r="BA425" s="44" t="str">
        <f t="shared" ca="1" si="49"/>
        <v>NGT_TO</v>
      </c>
      <c r="BB425" s="44" t="str">
        <f t="shared" si="47"/>
        <v>Fixed Inputs</v>
      </c>
      <c r="BC425" s="44" t="str">
        <f t="shared" si="50"/>
        <v>Variant allowances</v>
      </c>
      <c r="BD425" s="44" t="str">
        <f t="shared" si="48"/>
        <v>Totex variant allowances allocation percentages</v>
      </c>
    </row>
    <row r="426" spans="2:56">
      <c r="E426" s="212" t="str" cm="1">
        <f t="array" ref="E426">INDEX($E$128:$E$170,INT((ROW()-ROW($E$173))/6)+1)</f>
        <v>Spare 8</v>
      </c>
      <c r="G426" s="43" t="s">
        <v>33</v>
      </c>
      <c r="H426" s="43" t="s">
        <v>332</v>
      </c>
      <c r="AU426" s="165"/>
      <c r="AV426" s="32"/>
      <c r="AW426" s="32"/>
      <c r="AX426" s="32"/>
      <c r="AY426" s="213"/>
      <c r="BA426" s="44" t="str">
        <f t="shared" ca="1" si="49"/>
        <v>NGT_TO</v>
      </c>
      <c r="BB426" s="44" t="str">
        <f t="shared" si="47"/>
        <v>Fixed Inputs</v>
      </c>
      <c r="BC426" s="44" t="str">
        <f t="shared" si="50"/>
        <v>Variant allowances</v>
      </c>
      <c r="BD426" s="44" t="str">
        <f t="shared" si="48"/>
        <v>Totex variant allowances allocation percentages</v>
      </c>
    </row>
    <row r="427" spans="2:56">
      <c r="E427" s="212" t="str" cm="1">
        <f t="array" ref="E427">INDEX($E$128:$E$170,INT((ROW()-ROW($E$173))/6)+1)</f>
        <v>Spare 8</v>
      </c>
      <c r="G427" s="43" t="s">
        <v>33</v>
      </c>
      <c r="H427" s="43" t="s">
        <v>333</v>
      </c>
      <c r="AU427" s="165"/>
      <c r="AV427" s="32"/>
      <c r="AW427" s="32"/>
      <c r="AX427" s="32"/>
      <c r="AY427" s="213"/>
      <c r="BA427" s="44" t="str">
        <f t="shared" ca="1" si="49"/>
        <v>NGT_TO</v>
      </c>
      <c r="BB427" s="44" t="str">
        <f t="shared" si="47"/>
        <v>Fixed Inputs</v>
      </c>
      <c r="BC427" s="44" t="str">
        <f t="shared" si="50"/>
        <v>Variant allowances</v>
      </c>
      <c r="BD427" s="44" t="str">
        <f t="shared" si="48"/>
        <v>Totex variant allowances allocation percentages</v>
      </c>
    </row>
    <row r="428" spans="2:56">
      <c r="E428" s="212" t="str" cm="1">
        <f t="array" ref="E428">INDEX($E$128:$E$170,INT((ROW()-ROW($E$173))/6)+1)</f>
        <v>Spare 8</v>
      </c>
      <c r="G428" s="43" t="s">
        <v>33</v>
      </c>
      <c r="H428" s="43" t="s">
        <v>275</v>
      </c>
      <c r="AU428" s="165"/>
      <c r="AV428" s="32"/>
      <c r="AW428" s="32"/>
      <c r="AX428" s="32"/>
      <c r="AY428" s="213"/>
      <c r="BA428" s="44" t="str">
        <f t="shared" ca="1" si="49"/>
        <v>NGT_TO</v>
      </c>
      <c r="BB428" s="44" t="str">
        <f t="shared" si="47"/>
        <v>Fixed Inputs</v>
      </c>
      <c r="BC428" s="44" t="str">
        <f t="shared" si="50"/>
        <v>Variant allowances</v>
      </c>
      <c r="BD428" s="44" t="str">
        <f t="shared" si="48"/>
        <v>Totex variant allowances allocation percentages</v>
      </c>
    </row>
    <row r="429" spans="2:56">
      <c r="E429" s="212" t="str" cm="1">
        <f t="array" ref="E429">INDEX($E$128:$E$170,INT((ROW()-ROW($E$173))/6)+1)</f>
        <v>Spare 8</v>
      </c>
      <c r="G429" s="43" t="s">
        <v>33</v>
      </c>
      <c r="H429" s="43" t="s">
        <v>273</v>
      </c>
      <c r="AU429" s="165"/>
      <c r="AV429" s="32"/>
      <c r="AW429" s="32"/>
      <c r="AX429" s="32"/>
      <c r="AY429" s="213"/>
      <c r="BA429" s="44" t="str">
        <f t="shared" ca="1" si="49"/>
        <v>NGT_TO</v>
      </c>
      <c r="BB429" s="44" t="str">
        <f t="shared" si="47"/>
        <v>Fixed Inputs</v>
      </c>
      <c r="BC429" s="44" t="str">
        <f t="shared" ref="BC429:BC430" si="51">$B$126</f>
        <v>Variant allowances</v>
      </c>
      <c r="BD429" s="44" t="str">
        <f t="shared" si="48"/>
        <v>Totex variant allowances allocation percentages</v>
      </c>
    </row>
    <row r="430" spans="2:56">
      <c r="E430" s="201" t="str" cm="1">
        <f t="array" ref="E430">INDEX($E$128:$E$170,INT((ROW()-ROW($E$173))/6)+1)</f>
        <v>Spare 8</v>
      </c>
      <c r="F430" s="202"/>
      <c r="G430" s="202" t="s">
        <v>33</v>
      </c>
      <c r="H430" s="202" t="s">
        <v>274</v>
      </c>
      <c r="I430" s="202"/>
      <c r="J430" s="202"/>
      <c r="K430" s="202"/>
      <c r="L430" s="202"/>
      <c r="M430" s="202"/>
      <c r="N430" s="202"/>
      <c r="O430" s="202"/>
      <c r="P430" s="202"/>
      <c r="Q430" s="202"/>
      <c r="R430" s="202"/>
      <c r="S430" s="202"/>
      <c r="T430" s="202"/>
      <c r="U430" s="202"/>
      <c r="V430" s="202"/>
      <c r="W430" s="202"/>
      <c r="X430" s="202"/>
      <c r="Y430" s="202"/>
      <c r="Z430" s="202"/>
      <c r="AA430" s="202"/>
      <c r="AB430" s="202"/>
      <c r="AC430" s="202"/>
      <c r="AD430" s="202"/>
      <c r="AE430" s="202"/>
      <c r="AF430" s="202"/>
      <c r="AG430" s="202"/>
      <c r="AH430" s="202"/>
      <c r="AI430" s="202"/>
      <c r="AJ430" s="202"/>
      <c r="AK430" s="202"/>
      <c r="AL430" s="202"/>
      <c r="AM430" s="202"/>
      <c r="AN430" s="202"/>
      <c r="AO430" s="202"/>
      <c r="AP430" s="202"/>
      <c r="AQ430" s="202"/>
      <c r="AR430" s="202"/>
      <c r="AS430" s="202"/>
      <c r="AT430" s="203"/>
      <c r="AU430" s="214"/>
      <c r="AV430" s="215"/>
      <c r="AW430" s="215"/>
      <c r="AX430" s="215"/>
      <c r="AY430" s="216"/>
      <c r="BA430" s="44" t="str">
        <f t="shared" ca="1" si="49"/>
        <v>NGT_TO</v>
      </c>
      <c r="BB430" s="44" t="str">
        <f t="shared" si="47"/>
        <v>Fixed Inputs</v>
      </c>
      <c r="BC430" s="44" t="str">
        <f t="shared" si="51"/>
        <v>Variant allowances</v>
      </c>
      <c r="BD430" s="44" t="str">
        <f t="shared" si="48"/>
        <v>Totex variant allowances allocation percentages</v>
      </c>
    </row>
    <row r="431" spans="2:56">
      <c r="AU431"/>
      <c r="AV431"/>
      <c r="AW431"/>
      <c r="AX431"/>
      <c r="AY431"/>
    </row>
    <row r="432" spans="2:56" ht="17.5" thickBot="1">
      <c r="B432" s="11" t="s">
        <v>65</v>
      </c>
    </row>
    <row r="433" spans="2:56" ht="17" thickTop="1" thickBot="1">
      <c r="C433" s="12" t="s">
        <v>66</v>
      </c>
    </row>
    <row r="434" spans="2:56">
      <c r="E434" s="43" t="s">
        <v>334</v>
      </c>
      <c r="G434" s="43" t="str">
        <f t="shared" ref="G434:G439" si="52">price_label</f>
        <v>£m 23/24 prices</v>
      </c>
      <c r="AU434" s="163">
        <v>0</v>
      </c>
      <c r="AV434" s="31">
        <v>0</v>
      </c>
      <c r="AW434" s="31">
        <v>0</v>
      </c>
      <c r="AX434" s="31">
        <v>0</v>
      </c>
      <c r="AY434" s="31">
        <v>0</v>
      </c>
      <c r="BA434" s="44" t="str">
        <f t="shared" ca="1" si="49"/>
        <v>NGT_TO</v>
      </c>
      <c r="BB434" s="44" t="str">
        <f t="shared" ref="BB434:BB439" si="53">$A$125</f>
        <v>Fixed Inputs</v>
      </c>
      <c r="BC434" s="44" t="str">
        <f t="shared" ref="BC434:BC439" si="54">$B$432</f>
        <v>Totex allowance</v>
      </c>
      <c r="BD434" s="44" t="str">
        <f t="shared" ref="BD434:BD439" si="55">$C$433</f>
        <v>Non-variant allowances</v>
      </c>
    </row>
    <row r="435" spans="2:56">
      <c r="E435" s="43" t="s">
        <v>335</v>
      </c>
      <c r="G435" s="43" t="str">
        <f t="shared" si="52"/>
        <v>£m 23/24 prices</v>
      </c>
      <c r="AU435" s="163">
        <v>46.742049016897198</v>
      </c>
      <c r="AV435" s="30">
        <v>28.676960374728854</v>
      </c>
      <c r="AW435" s="30">
        <v>34.680301116982655</v>
      </c>
      <c r="AX435" s="31">
        <v>27.356934806026523</v>
      </c>
      <c r="AY435" s="31">
        <v>39.306574257187094</v>
      </c>
      <c r="BA435" s="44" t="str">
        <f t="shared" ca="1" si="49"/>
        <v>NGT_TO</v>
      </c>
      <c r="BB435" s="44" t="str">
        <f t="shared" si="53"/>
        <v>Fixed Inputs</v>
      </c>
      <c r="BC435" s="44" t="str">
        <f t="shared" si="54"/>
        <v>Totex allowance</v>
      </c>
      <c r="BD435" s="44" t="str">
        <f t="shared" si="55"/>
        <v>Non-variant allowances</v>
      </c>
    </row>
    <row r="436" spans="2:56">
      <c r="E436" s="43" t="s">
        <v>336</v>
      </c>
      <c r="G436" s="43" t="str">
        <f t="shared" si="52"/>
        <v>£m 23/24 prices</v>
      </c>
      <c r="AU436" s="163">
        <v>0</v>
      </c>
      <c r="AV436" s="31">
        <v>0</v>
      </c>
      <c r="AW436" s="31">
        <v>0</v>
      </c>
      <c r="AX436" s="31">
        <v>0</v>
      </c>
      <c r="AY436" s="31">
        <v>0</v>
      </c>
      <c r="BA436" s="44" t="str">
        <f t="shared" ca="1" si="49"/>
        <v>NGT_TO</v>
      </c>
      <c r="BB436" s="44" t="str">
        <f t="shared" si="53"/>
        <v>Fixed Inputs</v>
      </c>
      <c r="BC436" s="44" t="str">
        <f t="shared" si="54"/>
        <v>Totex allowance</v>
      </c>
      <c r="BD436" s="44" t="str">
        <f t="shared" si="55"/>
        <v>Non-variant allowances</v>
      </c>
    </row>
    <row r="437" spans="2:56">
      <c r="E437" s="43" t="s">
        <v>264</v>
      </c>
      <c r="G437" s="43" t="str">
        <f t="shared" si="52"/>
        <v>£m 23/24 prices</v>
      </c>
      <c r="AU437" s="163">
        <v>72.02038467401124</v>
      </c>
      <c r="AV437" s="31">
        <v>69.610838432389031</v>
      </c>
      <c r="AW437" s="31">
        <v>44.226892032388918</v>
      </c>
      <c r="AX437" s="31">
        <v>32.66063179162952</v>
      </c>
      <c r="AY437" s="31">
        <v>33.476961810953547</v>
      </c>
      <c r="BA437" s="44" t="str">
        <f t="shared" ca="1" si="49"/>
        <v>NGT_TO</v>
      </c>
      <c r="BB437" s="44" t="str">
        <f t="shared" si="53"/>
        <v>Fixed Inputs</v>
      </c>
      <c r="BC437" s="44" t="str">
        <f t="shared" si="54"/>
        <v>Totex allowance</v>
      </c>
      <c r="BD437" s="44" t="str">
        <f t="shared" si="55"/>
        <v>Non-variant allowances</v>
      </c>
    </row>
    <row r="438" spans="2:56">
      <c r="E438" s="43" t="s">
        <v>337</v>
      </c>
      <c r="G438" s="43" t="str">
        <f t="shared" si="52"/>
        <v>£m 23/24 prices</v>
      </c>
      <c r="AU438" s="163">
        <v>60.716862344848764</v>
      </c>
      <c r="AV438" s="31">
        <v>60.838200634997847</v>
      </c>
      <c r="AW438" s="31">
        <v>60.990137933456928</v>
      </c>
      <c r="AX438" s="31">
        <v>61.353903751083408</v>
      </c>
      <c r="AY438" s="31">
        <v>61.423726260329175</v>
      </c>
      <c r="BA438" s="44" t="str">
        <f t="shared" ca="1" si="49"/>
        <v>NGT_TO</v>
      </c>
      <c r="BB438" s="44" t="str">
        <f t="shared" si="53"/>
        <v>Fixed Inputs</v>
      </c>
      <c r="BC438" s="44" t="str">
        <f t="shared" si="54"/>
        <v>Totex allowance</v>
      </c>
      <c r="BD438" s="44" t="str">
        <f t="shared" si="55"/>
        <v>Non-variant allowances</v>
      </c>
    </row>
    <row r="439" spans="2:56">
      <c r="E439" s="43" t="s">
        <v>338</v>
      </c>
      <c r="G439" s="43" t="str">
        <f t="shared" si="52"/>
        <v>£m 23/24 prices</v>
      </c>
      <c r="AU439" s="163">
        <v>125.90332576919576</v>
      </c>
      <c r="AV439" s="31">
        <v>126.80168199708554</v>
      </c>
      <c r="AW439" s="31">
        <v>126.04722697607373</v>
      </c>
      <c r="AX439" s="31">
        <v>121.21027695637338</v>
      </c>
      <c r="AY439" s="31">
        <v>116.87426593597758</v>
      </c>
      <c r="BA439" s="44" t="str">
        <f t="shared" ca="1" si="49"/>
        <v>NGT_TO</v>
      </c>
      <c r="BB439" s="44" t="str">
        <f t="shared" si="53"/>
        <v>Fixed Inputs</v>
      </c>
      <c r="BC439" s="44" t="str">
        <f t="shared" si="54"/>
        <v>Totex allowance</v>
      </c>
      <c r="BD439" s="44" t="str">
        <f t="shared" si="55"/>
        <v>Non-variant allowances</v>
      </c>
    </row>
    <row r="440" spans="2:56"/>
    <row r="441" spans="2:56" ht="17.5" thickBot="1">
      <c r="B441" s="11" t="s">
        <v>15</v>
      </c>
    </row>
    <row r="442" spans="2:56" ht="17" thickTop="1">
      <c r="E442" s="43" t="s">
        <v>339</v>
      </c>
      <c r="G442" s="43" t="str">
        <f>price_label</f>
        <v>£m 23/24 prices</v>
      </c>
      <c r="H442" s="48" t="s">
        <v>1039</v>
      </c>
      <c r="AU442" s="163">
        <v>1.98</v>
      </c>
      <c r="AV442" s="31">
        <v>1.9550000000000001</v>
      </c>
      <c r="AW442" s="31">
        <v>1.9330000000000001</v>
      </c>
      <c r="AX442" s="31">
        <v>1.905</v>
      </c>
      <c r="AY442" s="31">
        <v>1.873</v>
      </c>
      <c r="BA442" s="44" t="str">
        <f t="shared" ca="1" si="49"/>
        <v>NGT_TO</v>
      </c>
      <c r="BB442" s="44" t="str">
        <f>$A$125</f>
        <v>Fixed Inputs</v>
      </c>
      <c r="BC442" s="44" t="str">
        <f>$B$441</f>
        <v>Incentive revenue</v>
      </c>
    </row>
    <row r="443" spans="2:56"/>
    <row r="444" spans="2:56" ht="17.5" thickBot="1">
      <c r="B444" s="11" t="s">
        <v>746</v>
      </c>
    </row>
    <row r="445" spans="2:56" ht="16.5" thickTop="1">
      <c r="E445" s="43" t="s">
        <v>68</v>
      </c>
      <c r="G445" s="43" t="str">
        <f>price_label</f>
        <v>£m 23/24 prices</v>
      </c>
      <c r="AU445" s="163">
        <v>3.9365467496633211</v>
      </c>
      <c r="AV445" s="31">
        <v>4.0631518333322241</v>
      </c>
      <c r="AW445" s="31">
        <v>4.1500224081482031</v>
      </c>
      <c r="AX445" s="31">
        <v>4.0854260511639939</v>
      </c>
      <c r="AY445" s="31">
        <v>4.1417286836148142</v>
      </c>
      <c r="BA445" s="44" t="str">
        <f t="shared" ca="1" si="49"/>
        <v>NGT_TO</v>
      </c>
      <c r="BB445" s="44" t="str">
        <f t="shared" ref="BB445" si="56">$A$125</f>
        <v>Fixed Inputs</v>
      </c>
      <c r="BC445" s="44" t="str">
        <f t="shared" ref="BC445" si="57">$B$444</f>
        <v>Tax trigger</v>
      </c>
    </row>
    <row r="446" spans="2:56" customFormat="1" ht="14.5">
      <c r="AT446" s="77"/>
    </row>
    <row r="447" spans="2:56" ht="17.5" thickBot="1">
      <c r="B447" s="11" t="s">
        <v>72</v>
      </c>
    </row>
    <row r="448" spans="2:56" ht="17" thickTop="1" thickBot="1">
      <c r="C448" s="12" t="s">
        <v>73</v>
      </c>
    </row>
    <row r="449" spans="3:56">
      <c r="E449" s="43" t="s">
        <v>357</v>
      </c>
      <c r="G449" s="43" t="str">
        <f>price_label</f>
        <v>£m 23/24 prices</v>
      </c>
      <c r="J449" s="43" t="s">
        <v>10</v>
      </c>
      <c r="AH449" s="31">
        <v>4365.6487819877821</v>
      </c>
      <c r="BA449" s="44" t="str">
        <f t="shared" ca="1" si="9"/>
        <v>NGT_TO</v>
      </c>
      <c r="BB449" s="44" t="str">
        <f>$A$125</f>
        <v>Fixed Inputs</v>
      </c>
      <c r="BC449" s="44" t="str">
        <f>$B$447</f>
        <v>RAV and assets</v>
      </c>
      <c r="BD449" s="44" t="str">
        <f>$C$448</f>
        <v>Pre-vesting assets</v>
      </c>
    </row>
    <row r="450" spans="3:56">
      <c r="E450" s="43" t="s">
        <v>74</v>
      </c>
      <c r="G450" s="43" t="s">
        <v>75</v>
      </c>
      <c r="I450" s="33">
        <v>56</v>
      </c>
      <c r="BA450" s="44" t="str">
        <f t="shared" ca="1" si="9"/>
        <v>NGT_TO</v>
      </c>
      <c r="BB450" s="44" t="str">
        <f>$A$125</f>
        <v>Fixed Inputs</v>
      </c>
      <c r="BC450" s="44" t="str">
        <f>$B$447</f>
        <v>RAV and assets</v>
      </c>
      <c r="BD450" s="44" t="str">
        <f>$C$448</f>
        <v>Pre-vesting assets</v>
      </c>
    </row>
    <row r="451" spans="3:56">
      <c r="E451" s="43" t="s">
        <v>431</v>
      </c>
      <c r="G451" s="43" t="s">
        <v>75</v>
      </c>
      <c r="J451" s="43" t="s">
        <v>10</v>
      </c>
      <c r="AH451" s="33">
        <v>45</v>
      </c>
      <c r="AI451" s="33">
        <v>44</v>
      </c>
      <c r="AJ451" s="33">
        <v>43</v>
      </c>
      <c r="AK451" s="33">
        <v>42</v>
      </c>
      <c r="AL451" s="33">
        <v>41</v>
      </c>
      <c r="AM451" s="33">
        <v>40</v>
      </c>
      <c r="AN451" s="33">
        <v>39</v>
      </c>
      <c r="AO451" s="33">
        <v>38</v>
      </c>
      <c r="AP451" s="33">
        <v>37</v>
      </c>
      <c r="AQ451" s="33">
        <v>36</v>
      </c>
      <c r="AR451" s="33">
        <v>35</v>
      </c>
      <c r="AS451" s="33">
        <v>34</v>
      </c>
      <c r="AT451" s="79">
        <v>33</v>
      </c>
      <c r="AU451" s="167">
        <v>32</v>
      </c>
      <c r="AV451" s="33">
        <v>31</v>
      </c>
      <c r="AW451" s="33">
        <v>30</v>
      </c>
      <c r="AX451" s="33">
        <v>29</v>
      </c>
      <c r="AY451" s="33">
        <v>28</v>
      </c>
      <c r="BA451" s="44" t="str">
        <f t="shared" ca="1" si="9"/>
        <v>NGT_TO</v>
      </c>
      <c r="BB451" s="44" t="str">
        <f>$A$125</f>
        <v>Fixed Inputs</v>
      </c>
      <c r="BC451" s="44" t="str">
        <f>$B$447</f>
        <v>RAV and assets</v>
      </c>
      <c r="BD451" s="44" t="str">
        <f>$C$448</f>
        <v>Pre-vesting assets</v>
      </c>
    </row>
    <row r="452" spans="3:56"/>
    <row r="453" spans="3:56" ht="16.5" thickBot="1">
      <c r="C453" s="12" t="s">
        <v>76</v>
      </c>
    </row>
    <row r="454" spans="3:56">
      <c r="E454" s="43" t="s">
        <v>623</v>
      </c>
      <c r="G454" s="43" t="s">
        <v>75</v>
      </c>
      <c r="J454" s="43" t="s">
        <v>10</v>
      </c>
      <c r="K454"/>
      <c r="L454"/>
      <c r="M454"/>
      <c r="N454"/>
      <c r="O454"/>
      <c r="P454"/>
      <c r="Q454"/>
      <c r="R454"/>
      <c r="S454"/>
      <c r="T454"/>
      <c r="U454"/>
      <c r="V454">
        <v>45</v>
      </c>
      <c r="W454">
        <v>45</v>
      </c>
      <c r="X454" s="33">
        <v>45</v>
      </c>
      <c r="Y454" s="33">
        <v>45</v>
      </c>
      <c r="Z454" s="33">
        <v>45</v>
      </c>
      <c r="AA454" s="33">
        <v>45</v>
      </c>
      <c r="AB454" s="33">
        <v>45</v>
      </c>
      <c r="AC454" s="33">
        <v>45</v>
      </c>
      <c r="AD454" s="33">
        <v>45</v>
      </c>
      <c r="AE454" s="33">
        <v>45</v>
      </c>
      <c r="AF454" s="33">
        <v>45</v>
      </c>
      <c r="AG454" s="33">
        <v>45</v>
      </c>
      <c r="AH454" s="33">
        <v>45</v>
      </c>
      <c r="AI454" s="33">
        <v>45</v>
      </c>
      <c r="AJ454" s="33">
        <v>45</v>
      </c>
      <c r="AK454" s="33">
        <v>45</v>
      </c>
      <c r="AL454" s="33">
        <v>45</v>
      </c>
      <c r="AM454" s="33">
        <v>45</v>
      </c>
      <c r="AN454" s="33">
        <v>45</v>
      </c>
      <c r="AO454" s="33">
        <v>45</v>
      </c>
      <c r="AP454" s="33">
        <v>45</v>
      </c>
      <c r="AQ454" s="33">
        <v>45</v>
      </c>
      <c r="AR454" s="33">
        <v>45</v>
      </c>
      <c r="AS454" s="33">
        <v>45</v>
      </c>
      <c r="AT454" s="79">
        <v>45</v>
      </c>
      <c r="AU454" s="167">
        <v>45</v>
      </c>
      <c r="AV454" s="33">
        <v>45</v>
      </c>
      <c r="AW454" s="33">
        <v>45</v>
      </c>
      <c r="AX454" s="33">
        <v>45</v>
      </c>
      <c r="AY454" s="33">
        <v>45</v>
      </c>
      <c r="BA454" s="44" t="str">
        <f t="shared" ca="1" si="9"/>
        <v>NGT_TO</v>
      </c>
      <c r="BB454" s="44" t="str">
        <f>$A$125</f>
        <v>Fixed Inputs</v>
      </c>
      <c r="BC454" s="44" t="str">
        <f>$B$447</f>
        <v>RAV and assets</v>
      </c>
      <c r="BD454" s="44" t="str">
        <f>$C$453</f>
        <v>Post-vesting assets</v>
      </c>
    </row>
    <row r="455" spans="3:56">
      <c r="K455"/>
      <c r="L455"/>
      <c r="M455"/>
      <c r="N455"/>
      <c r="O455"/>
      <c r="P455"/>
      <c r="Q455"/>
      <c r="R455"/>
      <c r="S455"/>
      <c r="T455"/>
      <c r="U455"/>
      <c r="V455"/>
      <c r="W455"/>
      <c r="AU455"/>
      <c r="AV455"/>
      <c r="AW455"/>
      <c r="AX455"/>
      <c r="AY455"/>
    </row>
    <row r="456" spans="3:56">
      <c r="E456" s="43" t="s">
        <v>265</v>
      </c>
      <c r="G456" s="43" t="s">
        <v>75</v>
      </c>
      <c r="I456" s="33">
        <v>45</v>
      </c>
      <c r="K456"/>
      <c r="L456"/>
      <c r="M456"/>
      <c r="N456"/>
      <c r="O456"/>
      <c r="P456"/>
      <c r="Q456"/>
      <c r="R456"/>
      <c r="S456"/>
      <c r="T456"/>
      <c r="U456"/>
      <c r="V456"/>
      <c r="W456"/>
      <c r="AU456"/>
      <c r="AV456"/>
      <c r="AW456"/>
      <c r="AX456"/>
      <c r="AY456"/>
      <c r="BA456" s="44" t="str">
        <f t="shared" ca="1" si="9"/>
        <v>NGT_TO</v>
      </c>
      <c r="BB456" s="44" t="str">
        <f>$A$125</f>
        <v>Fixed Inputs</v>
      </c>
      <c r="BC456" s="44" t="str">
        <f>$B$447</f>
        <v>RAV and assets</v>
      </c>
      <c r="BD456" s="44" t="str">
        <f>$C$453</f>
        <v>Post-vesting assets</v>
      </c>
    </row>
    <row r="457" spans="3:56">
      <c r="E457" s="43" t="s">
        <v>266</v>
      </c>
      <c r="G457" s="43" t="s">
        <v>77</v>
      </c>
      <c r="I457" s="34">
        <v>37711</v>
      </c>
      <c r="K457"/>
      <c r="L457"/>
      <c r="M457"/>
      <c r="N457"/>
      <c r="O457"/>
      <c r="P457"/>
      <c r="Q457"/>
      <c r="R457"/>
      <c r="S457"/>
      <c r="T457"/>
      <c r="U457"/>
      <c r="V457"/>
      <c r="W457"/>
      <c r="AU457"/>
      <c r="AV457"/>
      <c r="AW457"/>
      <c r="AX457"/>
      <c r="AY457"/>
      <c r="BA457" s="44" t="str">
        <f t="shared" ca="1" si="9"/>
        <v>NGT_TO</v>
      </c>
      <c r="BB457" s="44" t="str">
        <f>$A$125</f>
        <v>Fixed Inputs</v>
      </c>
      <c r="BC457" s="44" t="str">
        <f>$B$447</f>
        <v>RAV and assets</v>
      </c>
      <c r="BD457" s="44" t="str">
        <f>$C$453</f>
        <v>Post-vesting assets</v>
      </c>
    </row>
    <row r="458" spans="3:56">
      <c r="E458" s="43" t="s">
        <v>267</v>
      </c>
      <c r="G458" s="43" t="s">
        <v>77</v>
      </c>
      <c r="I458" s="34">
        <v>44651</v>
      </c>
      <c r="K458"/>
      <c r="L458"/>
      <c r="M458"/>
      <c r="N458"/>
      <c r="O458"/>
      <c r="P458"/>
      <c r="Q458"/>
      <c r="R458"/>
      <c r="S458"/>
      <c r="T458"/>
      <c r="U458"/>
      <c r="V458"/>
      <c r="W458"/>
      <c r="AU458"/>
      <c r="AV458"/>
      <c r="AW458"/>
      <c r="AX458"/>
      <c r="AY458"/>
      <c r="BA458" s="44" t="str">
        <f t="shared" ca="1" si="9"/>
        <v>NGT_TO</v>
      </c>
      <c r="BB458" s="44" t="str">
        <f>$A$125</f>
        <v>Fixed Inputs</v>
      </c>
      <c r="BC458" s="44" t="str">
        <f>$B$447</f>
        <v>RAV and assets</v>
      </c>
      <c r="BD458" s="44" t="str">
        <f>$C$453</f>
        <v>Post-vesting assets</v>
      </c>
    </row>
    <row r="459" spans="3:56">
      <c r="E459" s="43" t="s">
        <v>268</v>
      </c>
      <c r="G459" s="43" t="s">
        <v>75</v>
      </c>
      <c r="I459" s="33">
        <v>20</v>
      </c>
      <c r="K459"/>
      <c r="L459"/>
      <c r="M459"/>
      <c r="N459"/>
      <c r="O459"/>
      <c r="P459"/>
      <c r="Q459"/>
      <c r="R459"/>
      <c r="S459"/>
      <c r="T459"/>
      <c r="U459"/>
      <c r="V459"/>
      <c r="W459"/>
      <c r="AU459"/>
      <c r="AV459"/>
      <c r="AW459"/>
      <c r="AX459"/>
      <c r="AY459"/>
      <c r="BA459" s="44" t="str">
        <f t="shared" ca="1" si="9"/>
        <v>NGT_TO</v>
      </c>
      <c r="BB459" s="44" t="str">
        <f>$A$125</f>
        <v>Fixed Inputs</v>
      </c>
      <c r="BC459" s="44" t="str">
        <f>$B$447</f>
        <v>RAV and assets</v>
      </c>
      <c r="BD459" s="44" t="str">
        <f>$C$453</f>
        <v>Post-vesting assets</v>
      </c>
    </row>
    <row r="460" spans="3:56">
      <c r="K460"/>
      <c r="L460"/>
      <c r="M460"/>
      <c r="N460"/>
      <c r="O460"/>
      <c r="P460"/>
      <c r="Q460"/>
      <c r="R460"/>
      <c r="S460"/>
      <c r="T460"/>
      <c r="U460"/>
      <c r="V460"/>
      <c r="W460"/>
      <c r="AU460"/>
      <c r="AV460"/>
      <c r="AW460"/>
      <c r="AX460"/>
      <c r="AY460"/>
    </row>
    <row r="461" spans="3:56">
      <c r="E461" s="43" t="s">
        <v>78</v>
      </c>
      <c r="G461" s="43" t="str">
        <f>price_label</f>
        <v>£m 23/24 prices</v>
      </c>
      <c r="J461" s="43" t="s">
        <v>10</v>
      </c>
      <c r="K461"/>
      <c r="L461"/>
      <c r="M461"/>
      <c r="N461"/>
      <c r="O461"/>
      <c r="P461"/>
      <c r="Q461"/>
      <c r="R461"/>
      <c r="S461"/>
      <c r="T461"/>
      <c r="U461"/>
      <c r="V461"/>
      <c r="W461"/>
      <c r="X461" s="31">
        <v>489.50727363148951</v>
      </c>
      <c r="Y461" s="31">
        <v>157.60976769562583</v>
      </c>
      <c r="Z461" s="31">
        <v>490.59417497458742</v>
      </c>
      <c r="AA461" s="31">
        <v>884.86120142045354</v>
      </c>
      <c r="AB461" s="31">
        <v>957.9204794502175</v>
      </c>
      <c r="AC461" s="31">
        <v>405.1758456583176</v>
      </c>
      <c r="AD461" s="31">
        <v>201.45679890575062</v>
      </c>
      <c r="AE461" s="31">
        <v>163.49980480015913</v>
      </c>
      <c r="AF461" s="31">
        <v>165.3576046586341</v>
      </c>
      <c r="AG461" s="31">
        <v>-47.034102572314929</v>
      </c>
      <c r="AU461"/>
      <c r="AV461"/>
      <c r="AW461"/>
      <c r="AX461"/>
      <c r="AY461"/>
      <c r="BA461" s="44" t="str">
        <f t="shared" ca="1" si="9"/>
        <v>NGT_TO</v>
      </c>
      <c r="BB461" s="44" t="str">
        <f>$A$125</f>
        <v>Fixed Inputs</v>
      </c>
      <c r="BC461" s="44" t="str">
        <f>$B$447</f>
        <v>RAV and assets</v>
      </c>
      <c r="BD461" s="44" t="str">
        <f>$C$453</f>
        <v>Post-vesting assets</v>
      </c>
    </row>
    <row r="462" spans="3:56">
      <c r="E462" s="43" t="s">
        <v>79</v>
      </c>
      <c r="G462" s="43" t="str">
        <f>price_label</f>
        <v>£m 23/24 prices</v>
      </c>
      <c r="J462" s="43" t="s">
        <v>10</v>
      </c>
      <c r="K462"/>
      <c r="L462"/>
      <c r="M462"/>
      <c r="N462"/>
      <c r="O462"/>
      <c r="P462"/>
      <c r="Q462"/>
      <c r="R462"/>
      <c r="S462"/>
      <c r="T462"/>
      <c r="U462"/>
      <c r="V462"/>
      <c r="W462"/>
      <c r="X462" s="31">
        <v>5.5767725112762143</v>
      </c>
      <c r="Y462" s="31">
        <v>0</v>
      </c>
      <c r="Z462" s="31">
        <v>0</v>
      </c>
      <c r="AA462" s="31">
        <v>0</v>
      </c>
      <c r="AB462" s="31">
        <v>0</v>
      </c>
      <c r="AC462" s="31">
        <v>0</v>
      </c>
      <c r="AD462" s="31">
        <v>0</v>
      </c>
      <c r="AE462" s="31">
        <v>0</v>
      </c>
      <c r="AF462" s="31">
        <v>0</v>
      </c>
      <c r="AG462" s="31">
        <v>-13.591982683084908</v>
      </c>
      <c r="AU462"/>
      <c r="AV462"/>
      <c r="AW462"/>
      <c r="AX462"/>
      <c r="AY462"/>
      <c r="BA462" s="44" t="str">
        <f t="shared" ca="1" si="9"/>
        <v>NGT_TO</v>
      </c>
      <c r="BB462" s="44" t="str">
        <f>$A$125</f>
        <v>Fixed Inputs</v>
      </c>
      <c r="BC462" s="44" t="str">
        <f>$B$447</f>
        <v>RAV and assets</v>
      </c>
      <c r="BD462" s="44" t="str">
        <f>$C$453</f>
        <v>Post-vesting assets</v>
      </c>
    </row>
    <row r="463" spans="3:56" ht="16.5">
      <c r="E463" s="43" t="s">
        <v>805</v>
      </c>
      <c r="F463" s="43" t="s">
        <v>792</v>
      </c>
      <c r="G463" s="43" t="str">
        <f>price_label</f>
        <v>£m 23/24 prices</v>
      </c>
      <c r="H463" s="43" t="s">
        <v>923</v>
      </c>
      <c r="J463" s="43" t="s">
        <v>10</v>
      </c>
      <c r="AH463" s="31">
        <v>262.13061665762154</v>
      </c>
      <c r="AI463" s="31">
        <v>208.3748605321918</v>
      </c>
      <c r="AJ463" s="31">
        <v>197.01125140359775</v>
      </c>
      <c r="AK463" s="31">
        <v>222.94979360206582</v>
      </c>
      <c r="AL463" s="31">
        <v>283.53902493160496</v>
      </c>
      <c r="AM463" s="31">
        <v>255.40883536878235</v>
      </c>
      <c r="AN463" s="31">
        <v>215.81535000502981</v>
      </c>
      <c r="AO463" s="31">
        <v>179.7363984175511</v>
      </c>
      <c r="AP463" s="31">
        <v>245.42931155302847</v>
      </c>
      <c r="AQ463" s="31">
        <v>301.12844749196552</v>
      </c>
      <c r="AR463" s="31">
        <v>345.04101302096547</v>
      </c>
      <c r="AS463" s="31">
        <v>422.9336722196291</v>
      </c>
      <c r="AT463" s="189">
        <v>562.17788436111846</v>
      </c>
      <c r="AU463"/>
      <c r="AV463"/>
      <c r="AW463"/>
      <c r="AX463"/>
      <c r="AY463"/>
      <c r="BA463" s="44" t="str">
        <f t="shared" ca="1" si="9"/>
        <v>NGT_TO</v>
      </c>
      <c r="BB463" s="44" t="str">
        <f>$A$125</f>
        <v>Fixed Inputs</v>
      </c>
      <c r="BC463" s="44" t="str">
        <f>$B$447</f>
        <v>RAV and assets</v>
      </c>
      <c r="BD463" s="44" t="str">
        <f>$C$453</f>
        <v>Post-vesting assets</v>
      </c>
    </row>
    <row r="464" spans="3:56">
      <c r="AF464"/>
      <c r="AG464"/>
      <c r="AH464"/>
      <c r="AI464"/>
      <c r="AJ464"/>
      <c r="AK464"/>
      <c r="AL464"/>
      <c r="AM464"/>
      <c r="AN464"/>
      <c r="AO464"/>
      <c r="AP464"/>
      <c r="AQ464"/>
      <c r="AR464"/>
      <c r="AS464"/>
      <c r="AT464" s="77"/>
      <c r="AU464"/>
      <c r="AV464"/>
      <c r="AW464"/>
      <c r="AX464"/>
      <c r="AY464"/>
      <c r="AZ464"/>
      <c r="BB464"/>
      <c r="BC464"/>
      <c r="BD464"/>
    </row>
    <row r="465" spans="2:56">
      <c r="E465" s="43" t="s">
        <v>269</v>
      </c>
      <c r="G465" s="43" t="s">
        <v>75</v>
      </c>
      <c r="I465" s="33">
        <v>45</v>
      </c>
      <c r="AU465"/>
      <c r="AV465"/>
      <c r="AW465"/>
      <c r="AX465"/>
      <c r="AY465"/>
      <c r="BA465" s="44" t="str">
        <f t="shared" ca="1" si="9"/>
        <v>NGT_TO</v>
      </c>
      <c r="BB465" s="44" t="str">
        <f>$A$125</f>
        <v>Fixed Inputs</v>
      </c>
      <c r="BC465" s="44" t="str">
        <f>$B$447</f>
        <v>RAV and assets</v>
      </c>
      <c r="BD465" s="44" t="str">
        <f>$C$453</f>
        <v>Post-vesting assets</v>
      </c>
    </row>
    <row r="466" spans="2:56">
      <c r="E466" s="43" t="s">
        <v>270</v>
      </c>
      <c r="G466" s="43" t="str">
        <f>price_label</f>
        <v>£m 23/24 prices</v>
      </c>
      <c r="J466" s="43" t="s">
        <v>10</v>
      </c>
      <c r="Y466" s="31">
        <v>0</v>
      </c>
      <c r="Z466" s="31">
        <v>0</v>
      </c>
      <c r="AA466" s="31">
        <v>0.26244731396357457</v>
      </c>
      <c r="AB466" s="31">
        <v>146.51808442914222</v>
      </c>
      <c r="AC466" s="31">
        <v>0</v>
      </c>
      <c r="AD466" s="31">
        <v>0.67474092198257929</v>
      </c>
      <c r="AE466" s="31">
        <v>0.89126804739312737</v>
      </c>
      <c r="AF466" s="31">
        <v>2.7149740291125735</v>
      </c>
      <c r="AG466" s="31">
        <v>0</v>
      </c>
      <c r="AU466"/>
      <c r="AV466"/>
      <c r="AW466"/>
      <c r="AX466"/>
      <c r="AY466"/>
      <c r="BA466" s="44" t="str">
        <f t="shared" ca="1" si="9"/>
        <v>NGT_TO</v>
      </c>
      <c r="BB466" s="44" t="str">
        <f>$A$125</f>
        <v>Fixed Inputs</v>
      </c>
      <c r="BC466" s="44" t="str">
        <f>$B$447</f>
        <v>RAV and assets</v>
      </c>
      <c r="BD466" s="44" t="str">
        <f>$C$453</f>
        <v>Post-vesting assets</v>
      </c>
    </row>
    <row r="467" spans="2:56">
      <c r="E467" s="43" t="s">
        <v>271</v>
      </c>
      <c r="G467" s="43" t="str">
        <f>price_label</f>
        <v>£m 23/24 prices</v>
      </c>
      <c r="J467" s="43" t="s">
        <v>10</v>
      </c>
      <c r="Y467" s="31">
        <v>0</v>
      </c>
      <c r="Z467" s="31">
        <v>0</v>
      </c>
      <c r="AA467" s="31">
        <v>0</v>
      </c>
      <c r="AB467" s="31">
        <v>0</v>
      </c>
      <c r="AC467" s="31">
        <v>12.019872898560903</v>
      </c>
      <c r="AD467" s="31">
        <v>19.93476752669843</v>
      </c>
      <c r="AE467" s="31">
        <v>94.539545880371833</v>
      </c>
      <c r="AF467" s="31">
        <v>91.126335374749416</v>
      </c>
      <c r="AG467" s="31">
        <v>0</v>
      </c>
      <c r="AU467"/>
      <c r="AV467"/>
      <c r="AW467"/>
      <c r="AX467"/>
      <c r="AY467"/>
      <c r="BA467" s="44" t="str">
        <f t="shared" ca="1" si="9"/>
        <v>NGT_TO</v>
      </c>
      <c r="BB467" s="44" t="str">
        <f>$A$125</f>
        <v>Fixed Inputs</v>
      </c>
      <c r="BC467" s="44" t="str">
        <f>$B$447</f>
        <v>RAV and assets</v>
      </c>
      <c r="BD467" s="44" t="str">
        <f>$C$453</f>
        <v>Post-vesting assets</v>
      </c>
    </row>
    <row r="468" spans="2:56">
      <c r="Y468"/>
      <c r="Z468"/>
      <c r="AA468"/>
      <c r="AB468"/>
      <c r="AC468"/>
      <c r="AD468"/>
      <c r="AE468"/>
      <c r="AF468"/>
      <c r="AG468"/>
      <c r="AU468"/>
      <c r="AV468"/>
      <c r="AW468"/>
      <c r="AX468"/>
      <c r="AY468"/>
    </row>
    <row r="469" spans="2:56">
      <c r="E469" s="43" t="s">
        <v>1149</v>
      </c>
      <c r="G469" s="43" t="str">
        <f>price_label</f>
        <v>£m 23/24 prices</v>
      </c>
      <c r="J469" s="43" t="s">
        <v>10</v>
      </c>
      <c r="Y469"/>
      <c r="Z469"/>
      <c r="AA469"/>
      <c r="AB469"/>
      <c r="AC469"/>
      <c r="AD469"/>
      <c r="AE469"/>
      <c r="AF469"/>
      <c r="AG469"/>
      <c r="AH469" s="31">
        <v>6990.4820530018551</v>
      </c>
      <c r="AI469" s="31">
        <v>6971.3678183930842</v>
      </c>
      <c r="AJ469" s="31">
        <v>6939.4937969303483</v>
      </c>
      <c r="AK469" s="31">
        <v>6952.1281347841759</v>
      </c>
      <c r="AL469" s="31">
        <v>7413.3465451471511</v>
      </c>
      <c r="AM469" s="31">
        <v>7439.5882747115083</v>
      </c>
      <c r="AN469" s="31">
        <v>7430.0564169626414</v>
      </c>
      <c r="AO469" s="31">
        <v>7353.466612113355</v>
      </c>
      <c r="AP469" s="31">
        <v>7230.3699108001829</v>
      </c>
      <c r="AQ469" s="31">
        <v>7160.5382418342197</v>
      </c>
      <c r="AR469" s="31">
        <v>7130.0004630125813</v>
      </c>
      <c r="AS469" s="31">
        <v>7171.1183713853061</v>
      </c>
      <c r="AT469" s="189">
        <v>7342.1902554981953</v>
      </c>
      <c r="AU469"/>
      <c r="AV469"/>
      <c r="AW469"/>
      <c r="AX469"/>
      <c r="AY469"/>
      <c r="BA469" s="44" t="str">
        <f t="shared" ca="1" si="9"/>
        <v>NGT_TO</v>
      </c>
      <c r="BB469" s="44" t="str">
        <f>$A$125</f>
        <v>Fixed Inputs</v>
      </c>
      <c r="BC469" s="44" t="str">
        <f>$B$447</f>
        <v>RAV and assets</v>
      </c>
      <c r="BD469" s="44" t="str">
        <f>$C$453</f>
        <v>Post-vesting assets</v>
      </c>
    </row>
    <row r="470" spans="2:56">
      <c r="AU470"/>
      <c r="AV470"/>
      <c r="AW470"/>
      <c r="AX470"/>
      <c r="AY470"/>
    </row>
    <row r="471" spans="2:56" ht="17.5" thickBot="1">
      <c r="B471" s="11" t="s">
        <v>272</v>
      </c>
    </row>
    <row r="472" spans="2:56" ht="16.5" thickTop="1">
      <c r="E472" s="43" t="s">
        <v>465</v>
      </c>
      <c r="G472" s="43" t="str">
        <f t="shared" ref="G472:G485" si="58">price_label</f>
        <v>£m 23/24 prices</v>
      </c>
      <c r="J472" s="43" t="s">
        <v>10</v>
      </c>
      <c r="AG472"/>
      <c r="AH472" s="31">
        <v>0</v>
      </c>
      <c r="AI472" s="31">
        <v>0</v>
      </c>
      <c r="AJ472" s="31">
        <v>0</v>
      </c>
      <c r="AK472" s="31">
        <v>0</v>
      </c>
      <c r="AL472" s="31">
        <v>-93.326306560462868</v>
      </c>
      <c r="AM472" s="31">
        <v>0</v>
      </c>
      <c r="AN472" s="31">
        <v>0</v>
      </c>
      <c r="AO472" s="31">
        <v>0</v>
      </c>
      <c r="AP472" s="31">
        <v>0</v>
      </c>
      <c r="AQ472" s="31">
        <v>0</v>
      </c>
      <c r="AR472" s="31">
        <v>0</v>
      </c>
      <c r="AS472" s="31">
        <v>0</v>
      </c>
      <c r="AT472" s="189">
        <v>0</v>
      </c>
      <c r="AU472"/>
      <c r="AV472"/>
      <c r="AW472"/>
      <c r="AX472"/>
      <c r="AY472"/>
      <c r="BA472" s="44" t="str">
        <f t="shared" ref="BA472:BA500" ca="1" si="59">$A$1</f>
        <v>NGT_TO</v>
      </c>
      <c r="BB472" s="44" t="str">
        <f>$A$125</f>
        <v>Fixed Inputs</v>
      </c>
      <c r="BC472" s="44" t="str">
        <f>$B$471</f>
        <v>Revenue drivers</v>
      </c>
    </row>
    <row r="473" spans="2:56">
      <c r="E473" s="43" t="s">
        <v>467</v>
      </c>
      <c r="G473" s="43" t="str">
        <f t="shared" si="58"/>
        <v>£m 23/24 prices</v>
      </c>
      <c r="J473" s="43" t="s">
        <v>10</v>
      </c>
      <c r="AG473"/>
      <c r="AH473" s="31">
        <v>0</v>
      </c>
      <c r="AI473" s="31">
        <v>0</v>
      </c>
      <c r="AJ473" s="31">
        <v>0</v>
      </c>
      <c r="AK473" s="31">
        <v>0</v>
      </c>
      <c r="AL473" s="31">
        <v>-25.003228037172605</v>
      </c>
      <c r="AM473" s="31">
        <v>0</v>
      </c>
      <c r="AN473" s="31">
        <v>0</v>
      </c>
      <c r="AO473" s="31">
        <v>0</v>
      </c>
      <c r="AP473" s="31">
        <v>0</v>
      </c>
      <c r="AQ473" s="31">
        <v>0</v>
      </c>
      <c r="AR473" s="31">
        <v>0</v>
      </c>
      <c r="AS473" s="31">
        <v>0</v>
      </c>
      <c r="AT473" s="189">
        <v>0</v>
      </c>
      <c r="AU473"/>
      <c r="AV473"/>
      <c r="AW473"/>
      <c r="AX473"/>
      <c r="AY473"/>
      <c r="BA473" s="44" t="str">
        <f t="shared" ca="1" si="59"/>
        <v>NGT_TO</v>
      </c>
      <c r="BB473" s="44" t="str">
        <f t="shared" ref="BB473:BB485" si="60">$A$125</f>
        <v>Fixed Inputs</v>
      </c>
      <c r="BC473" s="44" t="str">
        <f t="shared" ref="BC473:BC485" si="61">$B$471</f>
        <v>Revenue drivers</v>
      </c>
    </row>
    <row r="474" spans="2:56">
      <c r="E474" s="43" t="s">
        <v>469</v>
      </c>
      <c r="G474" s="43" t="str">
        <f t="shared" si="58"/>
        <v>£m 23/24 prices</v>
      </c>
      <c r="J474" s="43" t="s">
        <v>10</v>
      </c>
      <c r="AG474"/>
      <c r="AH474" s="31">
        <v>0</v>
      </c>
      <c r="AI474" s="31">
        <v>0</v>
      </c>
      <c r="AJ474" s="31">
        <v>0</v>
      </c>
      <c r="AK474" s="31">
        <v>0</v>
      </c>
      <c r="AL474" s="31">
        <v>-18.947835400047019</v>
      </c>
      <c r="AM474" s="31">
        <v>0</v>
      </c>
      <c r="AN474" s="31">
        <v>0</v>
      </c>
      <c r="AO474" s="31">
        <v>0</v>
      </c>
      <c r="AP474" s="31">
        <v>0</v>
      </c>
      <c r="AQ474" s="31">
        <v>0</v>
      </c>
      <c r="AR474" s="31">
        <v>0</v>
      </c>
      <c r="AS474" s="31">
        <v>0</v>
      </c>
      <c r="AT474" s="189">
        <v>0</v>
      </c>
      <c r="AU474"/>
      <c r="AV474"/>
      <c r="AW474"/>
      <c r="AX474"/>
      <c r="AY474"/>
      <c r="BA474" s="44" t="str">
        <f t="shared" ca="1" si="59"/>
        <v>NGT_TO</v>
      </c>
      <c r="BB474" s="44" t="str">
        <f t="shared" si="60"/>
        <v>Fixed Inputs</v>
      </c>
      <c r="BC474" s="44" t="str">
        <f t="shared" si="61"/>
        <v>Revenue drivers</v>
      </c>
    </row>
    <row r="475" spans="2:56">
      <c r="E475" s="43" t="s">
        <v>471</v>
      </c>
      <c r="G475" s="43" t="str">
        <f t="shared" si="58"/>
        <v>£m 23/24 prices</v>
      </c>
      <c r="J475" s="43" t="s">
        <v>10</v>
      </c>
      <c r="AG475"/>
      <c r="AH475" s="31">
        <v>0</v>
      </c>
      <c r="AI475" s="31">
        <v>0</v>
      </c>
      <c r="AJ475" s="31">
        <v>0</v>
      </c>
      <c r="AK475" s="31">
        <v>0</v>
      </c>
      <c r="AL475" s="31">
        <v>-369.92349467998929</v>
      </c>
      <c r="AM475" s="31">
        <v>0</v>
      </c>
      <c r="AN475" s="31">
        <v>0</v>
      </c>
      <c r="AO475" s="31">
        <v>0</v>
      </c>
      <c r="AP475" s="31">
        <v>0</v>
      </c>
      <c r="AQ475" s="31">
        <v>0</v>
      </c>
      <c r="AR475" s="31">
        <v>0</v>
      </c>
      <c r="AS475" s="31">
        <v>0</v>
      </c>
      <c r="AT475" s="189">
        <v>0</v>
      </c>
      <c r="AU475"/>
      <c r="AV475"/>
      <c r="AW475"/>
      <c r="AX475"/>
      <c r="AY475"/>
      <c r="BA475" s="44" t="str">
        <f t="shared" ca="1" si="59"/>
        <v>NGT_TO</v>
      </c>
      <c r="BB475" s="44" t="str">
        <f t="shared" si="60"/>
        <v>Fixed Inputs</v>
      </c>
      <c r="BC475" s="44" t="str">
        <f t="shared" si="61"/>
        <v>Revenue drivers</v>
      </c>
    </row>
    <row r="476" spans="2:56">
      <c r="E476" s="43" t="s">
        <v>473</v>
      </c>
      <c r="G476" s="43" t="str">
        <f t="shared" si="58"/>
        <v>£m 23/24 prices</v>
      </c>
      <c r="J476" s="43" t="s">
        <v>10</v>
      </c>
      <c r="AG476"/>
      <c r="AH476" s="31">
        <v>0</v>
      </c>
      <c r="AI476" s="31">
        <v>0</v>
      </c>
      <c r="AJ476" s="31">
        <v>0</v>
      </c>
      <c r="AK476" s="31">
        <v>0</v>
      </c>
      <c r="AL476" s="31">
        <v>-1.6434430462628162</v>
      </c>
      <c r="AM476" s="31">
        <v>0</v>
      </c>
      <c r="AN476" s="31">
        <v>0</v>
      </c>
      <c r="AO476" s="31">
        <v>0</v>
      </c>
      <c r="AP476" s="31">
        <v>0</v>
      </c>
      <c r="AQ476" s="31">
        <v>0</v>
      </c>
      <c r="AR476" s="31">
        <v>0</v>
      </c>
      <c r="AS476" s="31">
        <v>0</v>
      </c>
      <c r="AT476" s="189">
        <v>0</v>
      </c>
      <c r="AU476"/>
      <c r="AV476"/>
      <c r="AW476"/>
      <c r="AX476"/>
      <c r="AY476"/>
      <c r="BA476" s="44" t="str">
        <f t="shared" ca="1" si="59"/>
        <v>NGT_TO</v>
      </c>
      <c r="BB476" s="44" t="str">
        <f t="shared" si="60"/>
        <v>Fixed Inputs</v>
      </c>
      <c r="BC476" s="44" t="str">
        <f t="shared" si="61"/>
        <v>Revenue drivers</v>
      </c>
    </row>
    <row r="477" spans="2:56">
      <c r="E477" s="43" t="s">
        <v>475</v>
      </c>
      <c r="G477" s="43" t="str">
        <f t="shared" si="58"/>
        <v>£m 23/24 prices</v>
      </c>
      <c r="J477" s="43" t="s">
        <v>10</v>
      </c>
      <c r="AG477"/>
      <c r="AH477" s="31">
        <v>0</v>
      </c>
      <c r="AI477" s="31">
        <v>0</v>
      </c>
      <c r="AJ477" s="31">
        <v>0</v>
      </c>
      <c r="AK477" s="31">
        <v>0</v>
      </c>
      <c r="AL477" s="31">
        <v>0</v>
      </c>
      <c r="AM477" s="31">
        <v>0</v>
      </c>
      <c r="AN477" s="31">
        <v>0</v>
      </c>
      <c r="AO477" s="31">
        <v>0</v>
      </c>
      <c r="AP477" s="31">
        <v>0</v>
      </c>
      <c r="AQ477" s="31">
        <v>0</v>
      </c>
      <c r="AR477" s="31">
        <v>0</v>
      </c>
      <c r="AS477" s="31">
        <v>0</v>
      </c>
      <c r="AT477" s="189">
        <v>0</v>
      </c>
      <c r="AU477"/>
      <c r="AV477"/>
      <c r="AW477"/>
      <c r="AX477"/>
      <c r="AY477"/>
      <c r="BA477" s="44" t="str">
        <f t="shared" ca="1" si="59"/>
        <v>NGT_TO</v>
      </c>
      <c r="BB477" s="44" t="str">
        <f t="shared" si="60"/>
        <v>Fixed Inputs</v>
      </c>
      <c r="BC477" s="44" t="str">
        <f t="shared" si="61"/>
        <v>Revenue drivers</v>
      </c>
    </row>
    <row r="478" spans="2:56">
      <c r="E478" s="43" t="s">
        <v>477</v>
      </c>
      <c r="G478" s="43" t="str">
        <f t="shared" si="58"/>
        <v>£m 23/24 prices</v>
      </c>
      <c r="J478" s="43" t="s">
        <v>10</v>
      </c>
      <c r="AG478"/>
      <c r="AH478" s="31">
        <v>0</v>
      </c>
      <c r="AI478" s="31">
        <v>0</v>
      </c>
      <c r="AJ478" s="31">
        <v>0</v>
      </c>
      <c r="AK478" s="31">
        <v>0</v>
      </c>
      <c r="AL478" s="31">
        <v>0</v>
      </c>
      <c r="AM478" s="31">
        <v>0</v>
      </c>
      <c r="AN478" s="31">
        <v>0</v>
      </c>
      <c r="AO478" s="31">
        <v>0</v>
      </c>
      <c r="AP478" s="31">
        <v>0</v>
      </c>
      <c r="AQ478" s="31">
        <v>0</v>
      </c>
      <c r="AR478" s="31">
        <v>0</v>
      </c>
      <c r="AS478" s="31">
        <v>0</v>
      </c>
      <c r="AT478" s="189">
        <v>0</v>
      </c>
      <c r="AU478"/>
      <c r="AV478"/>
      <c r="AW478"/>
      <c r="AX478"/>
      <c r="AY478"/>
      <c r="BA478" s="44" t="str">
        <f t="shared" ca="1" si="59"/>
        <v>NGT_TO</v>
      </c>
      <c r="BB478" s="44" t="str">
        <f t="shared" si="60"/>
        <v>Fixed Inputs</v>
      </c>
      <c r="BC478" s="44" t="str">
        <f t="shared" si="61"/>
        <v>Revenue drivers</v>
      </c>
    </row>
    <row r="479" spans="2:56">
      <c r="E479" s="43" t="s">
        <v>479</v>
      </c>
      <c r="G479" s="43" t="str">
        <f t="shared" si="58"/>
        <v>£m 23/24 prices</v>
      </c>
      <c r="J479" s="43" t="s">
        <v>10</v>
      </c>
      <c r="AG479"/>
      <c r="AH479" s="31">
        <v>-218.21959731529449</v>
      </c>
      <c r="AI479" s="31">
        <v>0</v>
      </c>
      <c r="AJ479" s="31">
        <v>0</v>
      </c>
      <c r="AK479" s="31">
        <v>0</v>
      </c>
      <c r="AL479" s="31">
        <v>0</v>
      </c>
      <c r="AM479" s="31">
        <v>0</v>
      </c>
      <c r="AN479" s="31">
        <v>0</v>
      </c>
      <c r="AO479" s="31">
        <v>0</v>
      </c>
      <c r="AP479" s="31">
        <v>0</v>
      </c>
      <c r="AQ479" s="31">
        <v>0</v>
      </c>
      <c r="AR479" s="31">
        <v>0</v>
      </c>
      <c r="AS479" s="31">
        <v>0</v>
      </c>
      <c r="AT479" s="189">
        <v>0</v>
      </c>
      <c r="AU479"/>
      <c r="AV479"/>
      <c r="AW479"/>
      <c r="AX479"/>
      <c r="AY479"/>
      <c r="BA479" s="44" t="str">
        <f t="shared" ca="1" si="59"/>
        <v>NGT_TO</v>
      </c>
      <c r="BB479" s="44" t="str">
        <f t="shared" si="60"/>
        <v>Fixed Inputs</v>
      </c>
      <c r="BC479" s="44" t="str">
        <f t="shared" si="61"/>
        <v>Revenue drivers</v>
      </c>
    </row>
    <row r="480" spans="2:56">
      <c r="E480" s="43" t="s">
        <v>481</v>
      </c>
      <c r="G480" s="43" t="str">
        <f t="shared" si="58"/>
        <v>£m 23/24 prices</v>
      </c>
      <c r="J480" s="43" t="s">
        <v>10</v>
      </c>
      <c r="AG480"/>
      <c r="AH480" s="31">
        <v>-81.29206648880934</v>
      </c>
      <c r="AI480" s="31">
        <v>0</v>
      </c>
      <c r="AJ480" s="31">
        <v>0</v>
      </c>
      <c r="AK480" s="31">
        <v>0</v>
      </c>
      <c r="AL480" s="31">
        <v>0</v>
      </c>
      <c r="AM480" s="31">
        <v>0</v>
      </c>
      <c r="AN480" s="31">
        <v>0</v>
      </c>
      <c r="AO480" s="31">
        <v>0</v>
      </c>
      <c r="AP480" s="31">
        <v>0</v>
      </c>
      <c r="AQ480" s="31">
        <v>0</v>
      </c>
      <c r="AR480" s="31">
        <v>0</v>
      </c>
      <c r="AS480" s="31">
        <v>0</v>
      </c>
      <c r="AT480" s="189">
        <v>0</v>
      </c>
      <c r="AU480"/>
      <c r="AV480"/>
      <c r="AW480"/>
      <c r="AX480"/>
      <c r="AY480"/>
      <c r="BA480" s="44" t="str">
        <f t="shared" ca="1" si="59"/>
        <v>NGT_TO</v>
      </c>
      <c r="BB480" s="44" t="str">
        <f t="shared" si="60"/>
        <v>Fixed Inputs</v>
      </c>
      <c r="BC480" s="44" t="str">
        <f t="shared" si="61"/>
        <v>Revenue drivers</v>
      </c>
    </row>
    <row r="481" spans="5:55">
      <c r="E481" s="43" t="s">
        <v>483</v>
      </c>
      <c r="G481" s="43" t="str">
        <f t="shared" si="58"/>
        <v>£m 23/24 prices</v>
      </c>
      <c r="J481" s="43" t="s">
        <v>10</v>
      </c>
      <c r="AG481"/>
      <c r="AH481" s="31">
        <v>0</v>
      </c>
      <c r="AI481" s="31">
        <v>0</v>
      </c>
      <c r="AJ481" s="31">
        <v>0</v>
      </c>
      <c r="AK481" s="31">
        <v>0</v>
      </c>
      <c r="AL481" s="31">
        <v>0</v>
      </c>
      <c r="AM481" s="31">
        <v>0</v>
      </c>
      <c r="AN481" s="31">
        <v>0</v>
      </c>
      <c r="AO481" s="31">
        <v>0</v>
      </c>
      <c r="AP481" s="31">
        <v>0</v>
      </c>
      <c r="AQ481" s="31">
        <v>0</v>
      </c>
      <c r="AR481" s="31">
        <v>0</v>
      </c>
      <c r="AS481" s="31">
        <v>0</v>
      </c>
      <c r="AT481" s="189">
        <v>0</v>
      </c>
      <c r="AU481"/>
      <c r="AV481"/>
      <c r="AW481"/>
      <c r="AX481"/>
      <c r="AY481"/>
      <c r="BA481" s="44" t="str">
        <f t="shared" ca="1" si="59"/>
        <v>NGT_TO</v>
      </c>
      <c r="BB481" s="44" t="str">
        <f t="shared" si="60"/>
        <v>Fixed Inputs</v>
      </c>
      <c r="BC481" s="44" t="str">
        <f t="shared" si="61"/>
        <v>Revenue drivers</v>
      </c>
    </row>
    <row r="482" spans="5:55">
      <c r="E482" s="43" t="s">
        <v>485</v>
      </c>
      <c r="G482" s="43" t="str">
        <f t="shared" si="58"/>
        <v>£m 23/24 prices</v>
      </c>
      <c r="J482" s="43" t="s">
        <v>10</v>
      </c>
      <c r="AG482"/>
      <c r="AH482" s="31">
        <v>0</v>
      </c>
      <c r="AI482" s="31">
        <v>0</v>
      </c>
      <c r="AJ482" s="31">
        <v>0</v>
      </c>
      <c r="AK482" s="31">
        <v>0</v>
      </c>
      <c r="AL482" s="31">
        <v>0</v>
      </c>
      <c r="AM482" s="31">
        <v>0</v>
      </c>
      <c r="AN482" s="31">
        <v>0</v>
      </c>
      <c r="AO482" s="31">
        <v>0</v>
      </c>
      <c r="AP482" s="31">
        <v>0</v>
      </c>
      <c r="AQ482" s="31">
        <v>0</v>
      </c>
      <c r="AR482" s="31">
        <v>0</v>
      </c>
      <c r="AS482" s="31">
        <v>0</v>
      </c>
      <c r="AT482" s="189">
        <v>0</v>
      </c>
      <c r="AU482"/>
      <c r="AV482"/>
      <c r="AW482"/>
      <c r="AX482"/>
      <c r="AY482"/>
      <c r="BA482" s="44" t="str">
        <f t="shared" ca="1" si="59"/>
        <v>NGT_TO</v>
      </c>
      <c r="BB482" s="44" t="str">
        <f t="shared" si="60"/>
        <v>Fixed Inputs</v>
      </c>
      <c r="BC482" s="44" t="str">
        <f t="shared" si="61"/>
        <v>Revenue drivers</v>
      </c>
    </row>
    <row r="483" spans="5:55">
      <c r="E483" s="43" t="s">
        <v>487</v>
      </c>
      <c r="G483" s="43" t="str">
        <f t="shared" si="58"/>
        <v>£m 23/24 prices</v>
      </c>
      <c r="J483" s="43" t="s">
        <v>10</v>
      </c>
      <c r="AG483"/>
      <c r="AH483" s="31">
        <v>-136.0344583461081</v>
      </c>
      <c r="AI483" s="31">
        <v>-1.3426495455033824</v>
      </c>
      <c r="AJ483" s="31">
        <v>0</v>
      </c>
      <c r="AK483" s="31">
        <v>0</v>
      </c>
      <c r="AL483" s="31">
        <v>0</v>
      </c>
      <c r="AM483" s="31">
        <v>0</v>
      </c>
      <c r="AN483" s="31">
        <v>0</v>
      </c>
      <c r="AO483" s="31">
        <v>0</v>
      </c>
      <c r="AP483" s="31">
        <v>0</v>
      </c>
      <c r="AQ483" s="31">
        <v>0</v>
      </c>
      <c r="AR483" s="31">
        <v>0</v>
      </c>
      <c r="AS483" s="31">
        <v>0</v>
      </c>
      <c r="AT483" s="189">
        <v>0</v>
      </c>
      <c r="AU483"/>
      <c r="AV483"/>
      <c r="AW483"/>
      <c r="AX483"/>
      <c r="AY483"/>
      <c r="BA483" s="44" t="str">
        <f t="shared" ca="1" si="59"/>
        <v>NGT_TO</v>
      </c>
      <c r="BB483" s="44" t="str">
        <f t="shared" si="60"/>
        <v>Fixed Inputs</v>
      </c>
      <c r="BC483" s="44" t="str">
        <f t="shared" si="61"/>
        <v>Revenue drivers</v>
      </c>
    </row>
    <row r="484" spans="5:55">
      <c r="E484" s="43" t="s">
        <v>489</v>
      </c>
      <c r="G484" s="43" t="str">
        <f t="shared" si="58"/>
        <v>£m 23/24 prices</v>
      </c>
      <c r="J484" s="43" t="s">
        <v>10</v>
      </c>
      <c r="AG484"/>
      <c r="AH484" s="31">
        <v>0</v>
      </c>
      <c r="AI484" s="31">
        <v>-1.2557319619708207</v>
      </c>
      <c r="AJ484" s="31">
        <v>-3.1677824938845429</v>
      </c>
      <c r="AK484" s="31">
        <v>-3.1964929562872912</v>
      </c>
      <c r="AL484" s="31">
        <v>-3.2254636293114984</v>
      </c>
      <c r="AM484" s="31">
        <v>-22.782878099210741</v>
      </c>
      <c r="AN484" s="31">
        <v>-30.214594570706808</v>
      </c>
      <c r="AO484" s="31">
        <v>-1.3255842411061352</v>
      </c>
      <c r="AP484" s="31">
        <v>0</v>
      </c>
      <c r="AQ484" s="31">
        <v>0</v>
      </c>
      <c r="AR484" s="31">
        <v>0</v>
      </c>
      <c r="AS484" s="31">
        <v>0</v>
      </c>
      <c r="AT484" s="189">
        <v>0</v>
      </c>
      <c r="AU484"/>
      <c r="AV484"/>
      <c r="AW484"/>
      <c r="AX484"/>
      <c r="AY484"/>
      <c r="BA484" s="44" t="str">
        <f t="shared" ca="1" si="59"/>
        <v>NGT_TO</v>
      </c>
      <c r="BB484" s="44" t="str">
        <f t="shared" si="60"/>
        <v>Fixed Inputs</v>
      </c>
      <c r="BC484" s="44" t="str">
        <f t="shared" si="61"/>
        <v>Revenue drivers</v>
      </c>
    </row>
    <row r="485" spans="5:55">
      <c r="E485" s="43" t="s">
        <v>491</v>
      </c>
      <c r="G485" s="43" t="str">
        <f t="shared" si="58"/>
        <v>£m 23/24 prices</v>
      </c>
      <c r="J485" s="43" t="s">
        <v>10</v>
      </c>
      <c r="AG485"/>
      <c r="AH485" s="31">
        <v>0</v>
      </c>
      <c r="AI485" s="31">
        <v>0</v>
      </c>
      <c r="AJ485" s="31">
        <v>0</v>
      </c>
      <c r="AK485" s="31">
        <v>-23.087375095468474</v>
      </c>
      <c r="AL485" s="31">
        <v>0</v>
      </c>
      <c r="AM485" s="31">
        <v>0</v>
      </c>
      <c r="AN485" s="31">
        <v>0</v>
      </c>
      <c r="AO485" s="31">
        <v>0</v>
      </c>
      <c r="AP485" s="31">
        <v>0</v>
      </c>
      <c r="AQ485" s="31">
        <v>0</v>
      </c>
      <c r="AR485" s="31">
        <v>0</v>
      </c>
      <c r="AS485" s="31">
        <v>0</v>
      </c>
      <c r="AT485" s="189">
        <v>0</v>
      </c>
      <c r="AU485"/>
      <c r="AV485"/>
      <c r="AW485"/>
      <c r="AX485"/>
      <c r="AY485"/>
      <c r="BA485" s="44" t="str">
        <f t="shared" ca="1" si="59"/>
        <v>NGT_TO</v>
      </c>
      <c r="BB485" s="44" t="str">
        <f t="shared" si="60"/>
        <v>Fixed Inputs</v>
      </c>
      <c r="BC485" s="44" t="str">
        <f t="shared" si="61"/>
        <v>Revenue drivers</v>
      </c>
    </row>
    <row r="486" spans="5:55">
      <c r="AG486"/>
      <c r="AU486"/>
      <c r="AV486"/>
      <c r="AW486"/>
      <c r="AX486"/>
      <c r="AY486"/>
    </row>
    <row r="487" spans="5:55">
      <c r="E487" s="43" t="s">
        <v>466</v>
      </c>
      <c r="G487" s="43" t="str">
        <f t="shared" ref="G487:G500" si="62">price_label</f>
        <v>£m 23/24 prices</v>
      </c>
      <c r="J487" s="43" t="s">
        <v>10</v>
      </c>
      <c r="AG487"/>
      <c r="AH487" s="31">
        <v>0</v>
      </c>
      <c r="AI487" s="31">
        <v>0</v>
      </c>
      <c r="AJ487" s="31">
        <v>0</v>
      </c>
      <c r="AK487" s="31">
        <v>0</v>
      </c>
      <c r="AL487" s="31">
        <v>-19.080037628953679</v>
      </c>
      <c r="AM487" s="31">
        <v>0</v>
      </c>
      <c r="AN487" s="31">
        <v>0</v>
      </c>
      <c r="AO487" s="31">
        <v>0</v>
      </c>
      <c r="AP487" s="31">
        <v>0</v>
      </c>
      <c r="AQ487" s="31">
        <v>0</v>
      </c>
      <c r="AR487" s="31">
        <v>0</v>
      </c>
      <c r="AS487" s="31">
        <v>0</v>
      </c>
      <c r="AT487" s="189">
        <v>0</v>
      </c>
      <c r="AU487"/>
      <c r="AV487"/>
      <c r="AW487"/>
      <c r="AX487"/>
      <c r="AY487"/>
      <c r="BA487" s="44" t="str">
        <f t="shared" ca="1" si="59"/>
        <v>NGT_TO</v>
      </c>
      <c r="BB487" s="44" t="str">
        <f t="shared" ref="BB487:BB500" si="63">$A$125</f>
        <v>Fixed Inputs</v>
      </c>
      <c r="BC487" s="44" t="str">
        <f t="shared" ref="BC487:BC500" si="64">$B$471</f>
        <v>Revenue drivers</v>
      </c>
    </row>
    <row r="488" spans="5:55">
      <c r="E488" s="43" t="s">
        <v>468</v>
      </c>
      <c r="G488" s="43" t="str">
        <f t="shared" si="62"/>
        <v>£m 23/24 prices</v>
      </c>
      <c r="J488" s="43" t="s">
        <v>10</v>
      </c>
      <c r="AG488"/>
      <c r="AH488" s="31">
        <v>0</v>
      </c>
      <c r="AI488" s="31">
        <v>0</v>
      </c>
      <c r="AJ488" s="31">
        <v>0</v>
      </c>
      <c r="AK488" s="31">
        <v>0</v>
      </c>
      <c r="AL488" s="31">
        <v>-4.5561437756625622</v>
      </c>
      <c r="AM488" s="31">
        <v>0</v>
      </c>
      <c r="AN488" s="31">
        <v>0</v>
      </c>
      <c r="AO488" s="31">
        <v>0</v>
      </c>
      <c r="AP488" s="31">
        <v>0</v>
      </c>
      <c r="AQ488" s="31">
        <v>0</v>
      </c>
      <c r="AR488" s="31">
        <v>0</v>
      </c>
      <c r="AS488" s="31">
        <v>0</v>
      </c>
      <c r="AT488" s="189">
        <v>0</v>
      </c>
      <c r="AU488"/>
      <c r="AV488"/>
      <c r="AW488"/>
      <c r="AX488"/>
      <c r="AY488"/>
      <c r="BA488" s="44" t="str">
        <f t="shared" ca="1" si="59"/>
        <v>NGT_TO</v>
      </c>
      <c r="BB488" s="44" t="str">
        <f t="shared" si="63"/>
        <v>Fixed Inputs</v>
      </c>
      <c r="BC488" s="44" t="str">
        <f t="shared" si="64"/>
        <v>Revenue drivers</v>
      </c>
    </row>
    <row r="489" spans="5:55">
      <c r="E489" s="43" t="s">
        <v>470</v>
      </c>
      <c r="G489" s="43" t="str">
        <f t="shared" si="62"/>
        <v>£m 23/24 prices</v>
      </c>
      <c r="J489" s="43" t="s">
        <v>10</v>
      </c>
      <c r="AG489"/>
      <c r="AH489" s="31">
        <v>0</v>
      </c>
      <c r="AI489" s="31">
        <v>0</v>
      </c>
      <c r="AJ489" s="31">
        <v>0</v>
      </c>
      <c r="AK489" s="31">
        <v>0</v>
      </c>
      <c r="AL489" s="31">
        <v>-3.4527021371933446</v>
      </c>
      <c r="AM489" s="31">
        <v>0</v>
      </c>
      <c r="AN489" s="31">
        <v>0</v>
      </c>
      <c r="AO489" s="31">
        <v>0</v>
      </c>
      <c r="AP489" s="31">
        <v>0</v>
      </c>
      <c r="AQ489" s="31">
        <v>0</v>
      </c>
      <c r="AR489" s="31">
        <v>0</v>
      </c>
      <c r="AS489" s="31">
        <v>0</v>
      </c>
      <c r="AT489" s="189">
        <v>0</v>
      </c>
      <c r="AU489"/>
      <c r="AV489"/>
      <c r="AW489"/>
      <c r="AX489"/>
      <c r="AY489"/>
      <c r="BA489" s="44" t="str">
        <f t="shared" ca="1" si="59"/>
        <v>NGT_TO</v>
      </c>
      <c r="BB489" s="44" t="str">
        <f t="shared" si="63"/>
        <v>Fixed Inputs</v>
      </c>
      <c r="BC489" s="44" t="str">
        <f t="shared" si="64"/>
        <v>Revenue drivers</v>
      </c>
    </row>
    <row r="490" spans="5:55">
      <c r="E490" s="43" t="s">
        <v>472</v>
      </c>
      <c r="G490" s="43" t="str">
        <f t="shared" si="62"/>
        <v>£m 23/24 prices</v>
      </c>
      <c r="J490" s="43" t="s">
        <v>10</v>
      </c>
      <c r="AG490"/>
      <c r="AH490" s="31">
        <v>0</v>
      </c>
      <c r="AI490" s="31">
        <v>0</v>
      </c>
      <c r="AJ490" s="31">
        <v>0</v>
      </c>
      <c r="AK490" s="31">
        <v>0</v>
      </c>
      <c r="AL490" s="31">
        <v>-59.18775188094623</v>
      </c>
      <c r="AM490" s="31">
        <v>0</v>
      </c>
      <c r="AN490" s="31">
        <v>0</v>
      </c>
      <c r="AO490" s="31">
        <v>0</v>
      </c>
      <c r="AP490" s="31">
        <v>0</v>
      </c>
      <c r="AQ490" s="31">
        <v>0</v>
      </c>
      <c r="AR490" s="31">
        <v>0</v>
      </c>
      <c r="AS490" s="31">
        <v>0</v>
      </c>
      <c r="AT490" s="189">
        <v>0</v>
      </c>
      <c r="AU490"/>
      <c r="AV490"/>
      <c r="AW490"/>
      <c r="AX490"/>
      <c r="AY490"/>
      <c r="BA490" s="44" t="str">
        <f t="shared" ca="1" si="59"/>
        <v>NGT_TO</v>
      </c>
      <c r="BB490" s="44" t="str">
        <f t="shared" si="63"/>
        <v>Fixed Inputs</v>
      </c>
      <c r="BC490" s="44" t="str">
        <f t="shared" si="64"/>
        <v>Revenue drivers</v>
      </c>
    </row>
    <row r="491" spans="5:55">
      <c r="E491" s="43" t="s">
        <v>474</v>
      </c>
      <c r="G491" s="43" t="str">
        <f t="shared" si="62"/>
        <v>£m 23/24 prices</v>
      </c>
      <c r="J491" s="43" t="s">
        <v>10</v>
      </c>
      <c r="AG491"/>
      <c r="AH491" s="31">
        <v>0</v>
      </c>
      <c r="AI491" s="31">
        <v>0</v>
      </c>
      <c r="AJ491" s="31">
        <v>0</v>
      </c>
      <c r="AK491" s="31">
        <v>0</v>
      </c>
      <c r="AL491" s="31">
        <v>-0.23555108514926648</v>
      </c>
      <c r="AM491" s="31">
        <v>0</v>
      </c>
      <c r="AN491" s="31">
        <v>0</v>
      </c>
      <c r="AO491" s="31">
        <v>0</v>
      </c>
      <c r="AP491" s="31">
        <v>0</v>
      </c>
      <c r="AQ491" s="31">
        <v>0</v>
      </c>
      <c r="AR491" s="31">
        <v>0</v>
      </c>
      <c r="AS491" s="31">
        <v>0</v>
      </c>
      <c r="AT491" s="189">
        <v>0</v>
      </c>
      <c r="AU491"/>
      <c r="AV491"/>
      <c r="AW491"/>
      <c r="AX491"/>
      <c r="AY491"/>
      <c r="BA491" s="44" t="str">
        <f t="shared" ca="1" si="59"/>
        <v>NGT_TO</v>
      </c>
      <c r="BB491" s="44" t="str">
        <f t="shared" si="63"/>
        <v>Fixed Inputs</v>
      </c>
      <c r="BC491" s="44" t="str">
        <f t="shared" si="64"/>
        <v>Revenue drivers</v>
      </c>
    </row>
    <row r="492" spans="5:55">
      <c r="E492" s="43" t="s">
        <v>476</v>
      </c>
      <c r="G492" s="43" t="str">
        <f t="shared" si="62"/>
        <v>£m 23/24 prices</v>
      </c>
      <c r="J492" s="43" t="s">
        <v>10</v>
      </c>
      <c r="AG492"/>
      <c r="AH492" s="31">
        <v>0</v>
      </c>
      <c r="AI492" s="31">
        <v>0</v>
      </c>
      <c r="AJ492" s="31">
        <v>0</v>
      </c>
      <c r="AK492" s="31">
        <v>0</v>
      </c>
      <c r="AL492" s="31">
        <v>0</v>
      </c>
      <c r="AM492" s="31">
        <v>0</v>
      </c>
      <c r="AN492" s="31">
        <v>0</v>
      </c>
      <c r="AO492" s="31">
        <v>0</v>
      </c>
      <c r="AP492" s="31">
        <v>0</v>
      </c>
      <c r="AQ492" s="31">
        <v>0</v>
      </c>
      <c r="AR492" s="31">
        <v>0</v>
      </c>
      <c r="AS492" s="31">
        <v>0</v>
      </c>
      <c r="AT492" s="189">
        <v>0</v>
      </c>
      <c r="AU492"/>
      <c r="AV492"/>
      <c r="AW492"/>
      <c r="AX492"/>
      <c r="AY492"/>
      <c r="BA492" s="44" t="str">
        <f t="shared" ca="1" si="59"/>
        <v>NGT_TO</v>
      </c>
      <c r="BB492" s="44" t="str">
        <f t="shared" si="63"/>
        <v>Fixed Inputs</v>
      </c>
      <c r="BC492" s="44" t="str">
        <f t="shared" si="64"/>
        <v>Revenue drivers</v>
      </c>
    </row>
    <row r="493" spans="5:55">
      <c r="E493" s="43" t="s">
        <v>478</v>
      </c>
      <c r="G493" s="43" t="str">
        <f t="shared" si="62"/>
        <v>£m 23/24 prices</v>
      </c>
      <c r="J493" s="43" t="s">
        <v>10</v>
      </c>
      <c r="AG493"/>
      <c r="AH493" s="31">
        <v>0</v>
      </c>
      <c r="AI493" s="31">
        <v>0</v>
      </c>
      <c r="AJ493" s="31">
        <v>0</v>
      </c>
      <c r="AK493" s="31">
        <v>0</v>
      </c>
      <c r="AL493" s="31">
        <v>0</v>
      </c>
      <c r="AM493" s="31">
        <v>0</v>
      </c>
      <c r="AN493" s="31">
        <v>0</v>
      </c>
      <c r="AO493" s="31">
        <v>0</v>
      </c>
      <c r="AP493" s="31">
        <v>0</v>
      </c>
      <c r="AQ493" s="31">
        <v>0</v>
      </c>
      <c r="AR493" s="31">
        <v>0</v>
      </c>
      <c r="AS493" s="31">
        <v>0</v>
      </c>
      <c r="AT493" s="189">
        <v>0</v>
      </c>
      <c r="AU493"/>
      <c r="AV493"/>
      <c r="AW493"/>
      <c r="AX493"/>
      <c r="AY493"/>
      <c r="BA493" s="44" t="str">
        <f t="shared" ca="1" si="59"/>
        <v>NGT_TO</v>
      </c>
      <c r="BB493" s="44" t="str">
        <f t="shared" si="63"/>
        <v>Fixed Inputs</v>
      </c>
      <c r="BC493" s="44" t="str">
        <f t="shared" si="64"/>
        <v>Revenue drivers</v>
      </c>
    </row>
    <row r="494" spans="5:55">
      <c r="E494" s="43" t="s">
        <v>480</v>
      </c>
      <c r="G494" s="43" t="str">
        <f t="shared" si="62"/>
        <v>£m 23/24 prices</v>
      </c>
      <c r="J494" s="43" t="s">
        <v>10</v>
      </c>
      <c r="AG494"/>
      <c r="AH494" s="31">
        <v>-27.709785294799591</v>
      </c>
      <c r="AI494" s="31">
        <v>0</v>
      </c>
      <c r="AJ494" s="31">
        <v>0</v>
      </c>
      <c r="AK494" s="31">
        <v>0</v>
      </c>
      <c r="AL494" s="31">
        <v>0</v>
      </c>
      <c r="AM494" s="31">
        <v>0</v>
      </c>
      <c r="AN494" s="31">
        <v>0</v>
      </c>
      <c r="AO494" s="31">
        <v>0</v>
      </c>
      <c r="AP494" s="31">
        <v>0</v>
      </c>
      <c r="AQ494" s="31">
        <v>0</v>
      </c>
      <c r="AR494" s="31">
        <v>0</v>
      </c>
      <c r="AS494" s="31">
        <v>0</v>
      </c>
      <c r="AT494" s="189">
        <v>0</v>
      </c>
      <c r="AU494"/>
      <c r="AV494"/>
      <c r="AW494"/>
      <c r="AX494"/>
      <c r="AY494"/>
      <c r="BA494" s="44" t="str">
        <f t="shared" ca="1" si="59"/>
        <v>NGT_TO</v>
      </c>
      <c r="BB494" s="44" t="str">
        <f t="shared" si="63"/>
        <v>Fixed Inputs</v>
      </c>
      <c r="BC494" s="44" t="str">
        <f t="shared" si="64"/>
        <v>Revenue drivers</v>
      </c>
    </row>
    <row r="495" spans="5:55">
      <c r="E495" s="43" t="s">
        <v>482</v>
      </c>
      <c r="G495" s="43" t="str">
        <f t="shared" si="62"/>
        <v>£m 23/24 prices</v>
      </c>
      <c r="J495" s="43" t="s">
        <v>10</v>
      </c>
      <c r="AG495"/>
      <c r="AH495" s="31">
        <v>-8.1208523231955603</v>
      </c>
      <c r="AI495" s="31">
        <v>0</v>
      </c>
      <c r="AJ495" s="31">
        <v>0</v>
      </c>
      <c r="AK495" s="31">
        <v>0</v>
      </c>
      <c r="AL495" s="31">
        <v>0</v>
      </c>
      <c r="AM495" s="31">
        <v>0</v>
      </c>
      <c r="AN495" s="31">
        <v>0</v>
      </c>
      <c r="AO495" s="31">
        <v>0</v>
      </c>
      <c r="AP495" s="31">
        <v>0</v>
      </c>
      <c r="AQ495" s="31">
        <v>0</v>
      </c>
      <c r="AR495" s="31">
        <v>0</v>
      </c>
      <c r="AS495" s="31">
        <v>0</v>
      </c>
      <c r="AT495" s="189">
        <v>0</v>
      </c>
      <c r="AU495"/>
      <c r="AV495"/>
      <c r="AW495"/>
      <c r="AX495"/>
      <c r="AY495"/>
      <c r="BA495" s="44" t="str">
        <f t="shared" ca="1" si="59"/>
        <v>NGT_TO</v>
      </c>
      <c r="BB495" s="44" t="str">
        <f t="shared" si="63"/>
        <v>Fixed Inputs</v>
      </c>
      <c r="BC495" s="44" t="str">
        <f t="shared" si="64"/>
        <v>Revenue drivers</v>
      </c>
    </row>
    <row r="496" spans="5:55">
      <c r="E496" s="43" t="s">
        <v>484</v>
      </c>
      <c r="G496" s="43" t="str">
        <f t="shared" si="62"/>
        <v>£m 23/24 prices</v>
      </c>
      <c r="J496" s="43" t="s">
        <v>10</v>
      </c>
      <c r="AG496"/>
      <c r="AH496" s="31">
        <v>0</v>
      </c>
      <c r="AI496" s="31">
        <v>0</v>
      </c>
      <c r="AJ496" s="31">
        <v>0</v>
      </c>
      <c r="AK496" s="31">
        <v>0</v>
      </c>
      <c r="AL496" s="31">
        <v>0</v>
      </c>
      <c r="AM496" s="31">
        <v>0</v>
      </c>
      <c r="AN496" s="31">
        <v>0</v>
      </c>
      <c r="AO496" s="31">
        <v>0</v>
      </c>
      <c r="AP496" s="31">
        <v>0</v>
      </c>
      <c r="AQ496" s="31">
        <v>0</v>
      </c>
      <c r="AR496" s="31">
        <v>0</v>
      </c>
      <c r="AS496" s="31">
        <v>0</v>
      </c>
      <c r="AT496" s="189">
        <v>0</v>
      </c>
      <c r="AU496"/>
      <c r="AV496"/>
      <c r="AW496"/>
      <c r="AX496"/>
      <c r="AY496"/>
      <c r="BA496" s="44" t="str">
        <f t="shared" ca="1" si="59"/>
        <v>NGT_TO</v>
      </c>
      <c r="BB496" s="44" t="str">
        <f t="shared" si="63"/>
        <v>Fixed Inputs</v>
      </c>
      <c r="BC496" s="44" t="str">
        <f t="shared" si="64"/>
        <v>Revenue drivers</v>
      </c>
    </row>
    <row r="497" spans="1:56">
      <c r="E497" s="43" t="s">
        <v>486</v>
      </c>
      <c r="G497" s="43" t="str">
        <f t="shared" si="62"/>
        <v>£m 23/24 prices</v>
      </c>
      <c r="J497" s="43" t="s">
        <v>10</v>
      </c>
      <c r="AG497"/>
      <c r="AH497" s="31">
        <v>0</v>
      </c>
      <c r="AI497" s="31">
        <v>0</v>
      </c>
      <c r="AJ497" s="31">
        <v>0</v>
      </c>
      <c r="AK497" s="31">
        <v>0</v>
      </c>
      <c r="AL497" s="31">
        <v>0</v>
      </c>
      <c r="AM497" s="31">
        <v>0</v>
      </c>
      <c r="AN497" s="31">
        <v>0</v>
      </c>
      <c r="AO497" s="31">
        <v>0</v>
      </c>
      <c r="AP497" s="31">
        <v>0</v>
      </c>
      <c r="AQ497" s="31">
        <v>0</v>
      </c>
      <c r="AR497" s="31">
        <v>0</v>
      </c>
      <c r="AS497" s="31">
        <v>0</v>
      </c>
      <c r="AT497" s="189">
        <v>0</v>
      </c>
      <c r="AU497"/>
      <c r="AV497"/>
      <c r="AW497"/>
      <c r="AX497"/>
      <c r="AY497"/>
      <c r="BA497" s="44" t="str">
        <f t="shared" ca="1" si="59"/>
        <v>NGT_TO</v>
      </c>
      <c r="BB497" s="44" t="str">
        <f t="shared" si="63"/>
        <v>Fixed Inputs</v>
      </c>
      <c r="BC497" s="44" t="str">
        <f t="shared" si="64"/>
        <v>Revenue drivers</v>
      </c>
    </row>
    <row r="498" spans="1:56">
      <c r="E498" s="43" t="s">
        <v>488</v>
      </c>
      <c r="G498" s="43" t="str">
        <f t="shared" si="62"/>
        <v>£m 23/24 prices</v>
      </c>
      <c r="J498" s="43" t="s">
        <v>10</v>
      </c>
      <c r="AG498"/>
      <c r="AH498" s="31">
        <v>-9.0363870843406886</v>
      </c>
      <c r="AI498" s="31">
        <v>0</v>
      </c>
      <c r="AJ498" s="31">
        <v>0</v>
      </c>
      <c r="AK498" s="31">
        <v>0</v>
      </c>
      <c r="AL498" s="31">
        <v>0</v>
      </c>
      <c r="AM498" s="31">
        <v>0</v>
      </c>
      <c r="AN498" s="31">
        <v>0</v>
      </c>
      <c r="AO498" s="31">
        <v>0</v>
      </c>
      <c r="AP498" s="31">
        <v>0</v>
      </c>
      <c r="AQ498" s="31">
        <v>0</v>
      </c>
      <c r="AR498" s="31">
        <v>0</v>
      </c>
      <c r="AS498" s="31">
        <v>0</v>
      </c>
      <c r="AT498" s="189">
        <v>0</v>
      </c>
      <c r="AU498"/>
      <c r="AV498"/>
      <c r="AW498"/>
      <c r="AX498"/>
      <c r="AY498"/>
      <c r="BA498" s="44" t="str">
        <f t="shared" ca="1" si="59"/>
        <v>NGT_TO</v>
      </c>
      <c r="BB498" s="44" t="str">
        <f t="shared" si="63"/>
        <v>Fixed Inputs</v>
      </c>
      <c r="BC498" s="44" t="str">
        <f t="shared" si="64"/>
        <v>Revenue drivers</v>
      </c>
    </row>
    <row r="499" spans="1:56">
      <c r="E499" s="43" t="s">
        <v>490</v>
      </c>
      <c r="G499" s="43" t="str">
        <f t="shared" si="62"/>
        <v>£m 23/24 prices</v>
      </c>
      <c r="J499" s="43" t="s">
        <v>10</v>
      </c>
      <c r="AG499"/>
      <c r="AH499" s="31">
        <v>0</v>
      </c>
      <c r="AI499" s="31">
        <v>0</v>
      </c>
      <c r="AJ499" s="31">
        <v>0</v>
      </c>
      <c r="AK499" s="31">
        <v>0</v>
      </c>
      <c r="AL499" s="31">
        <v>0</v>
      </c>
      <c r="AM499" s="31">
        <v>0</v>
      </c>
      <c r="AN499" s="31">
        <v>0</v>
      </c>
      <c r="AO499" s="31">
        <v>0</v>
      </c>
      <c r="AP499" s="31">
        <v>0</v>
      </c>
      <c r="AQ499" s="31">
        <v>0</v>
      </c>
      <c r="AR499" s="31">
        <v>0</v>
      </c>
      <c r="AS499" s="31">
        <v>0</v>
      </c>
      <c r="AT499" s="189">
        <v>0</v>
      </c>
      <c r="AU499"/>
      <c r="AV499"/>
      <c r="AW499"/>
      <c r="AX499"/>
      <c r="AY499"/>
      <c r="BA499" s="44" t="str">
        <f t="shared" ca="1" si="59"/>
        <v>NGT_TO</v>
      </c>
      <c r="BB499" s="44" t="str">
        <f t="shared" si="63"/>
        <v>Fixed Inputs</v>
      </c>
      <c r="BC499" s="44" t="str">
        <f t="shared" si="64"/>
        <v>Revenue drivers</v>
      </c>
    </row>
    <row r="500" spans="1:56">
      <c r="E500" s="43" t="s">
        <v>492</v>
      </c>
      <c r="G500" s="43" t="str">
        <f t="shared" si="62"/>
        <v>£m 23/24 prices</v>
      </c>
      <c r="J500" s="43" t="s">
        <v>10</v>
      </c>
      <c r="AG500"/>
      <c r="AH500" s="31">
        <v>0</v>
      </c>
      <c r="AI500" s="31">
        <v>0</v>
      </c>
      <c r="AJ500" s="31">
        <v>0</v>
      </c>
      <c r="AK500" s="31">
        <v>-2.3195235851216847</v>
      </c>
      <c r="AL500" s="31">
        <v>0</v>
      </c>
      <c r="AM500" s="31">
        <v>0</v>
      </c>
      <c r="AN500" s="31">
        <v>0</v>
      </c>
      <c r="AO500" s="31">
        <v>0</v>
      </c>
      <c r="AP500" s="31">
        <v>0</v>
      </c>
      <c r="AQ500" s="31">
        <v>0</v>
      </c>
      <c r="AR500" s="31">
        <v>0</v>
      </c>
      <c r="AS500" s="31">
        <v>0</v>
      </c>
      <c r="AT500" s="189">
        <v>0</v>
      </c>
      <c r="AU500"/>
      <c r="AV500"/>
      <c r="AW500"/>
      <c r="AX500"/>
      <c r="AY500"/>
      <c r="BA500" s="44" t="str">
        <f t="shared" ca="1" si="59"/>
        <v>NGT_TO</v>
      </c>
      <c r="BB500" s="44" t="str">
        <f t="shared" si="63"/>
        <v>Fixed Inputs</v>
      </c>
      <c r="BC500" s="44" t="str">
        <f t="shared" si="64"/>
        <v>Revenue drivers</v>
      </c>
    </row>
    <row r="501" spans="1:56"/>
    <row r="502" spans="1:56" ht="20" thickBot="1">
      <c r="A502" s="10" t="s">
        <v>747</v>
      </c>
    </row>
    <row r="503" spans="1:56" customFormat="1" ht="18" thickTop="1" thickBot="1">
      <c r="B503" s="17" t="s">
        <v>237</v>
      </c>
      <c r="AT503" s="77"/>
    </row>
    <row r="504" spans="1:56" ht="17" thickTop="1">
      <c r="E504" s="43" t="s">
        <v>83</v>
      </c>
      <c r="G504" s="43" t="s">
        <v>84</v>
      </c>
      <c r="H504" s="48" t="s">
        <v>1041</v>
      </c>
      <c r="J504" s="43" t="s">
        <v>10</v>
      </c>
      <c r="AS504" s="39">
        <v>-1.06E-2</v>
      </c>
      <c r="AT504" s="80">
        <v>-5.8999999999999999E-3</v>
      </c>
      <c r="AU504" s="164">
        <v>1.04E-2</v>
      </c>
      <c r="AV504" s="29">
        <v>1.12E-2</v>
      </c>
      <c r="AW504" s="29">
        <v>1.3299999999999999E-2</v>
      </c>
      <c r="AX504" s="29">
        <v>1.38E-2</v>
      </c>
      <c r="AY504" s="29">
        <v>1.52E-2</v>
      </c>
      <c r="AZ504"/>
      <c r="BA504" s="44" t="str">
        <f t="shared" ref="BA504:BA549" ca="1" si="65">$A$1</f>
        <v>NGT_TO</v>
      </c>
      <c r="BB504" s="44" t="str">
        <f t="shared" ref="BB504:BB533" si="66">$A$502</f>
        <v>Variable policy</v>
      </c>
      <c r="BC504" s="44" t="str">
        <f>$B$503</f>
        <v>Real Price Effects</v>
      </c>
    </row>
    <row r="505" spans="1:56" customFormat="1" ht="14.5">
      <c r="AT505" s="77"/>
    </row>
    <row r="506" spans="1:56" ht="17.5" thickBot="1">
      <c r="B506" s="11" t="s">
        <v>95</v>
      </c>
    </row>
    <row r="507" spans="1:56" customFormat="1" ht="15.5" thickTop="1" thickBot="1">
      <c r="C507" s="14" t="s">
        <v>88</v>
      </c>
      <c r="AT507" s="77"/>
    </row>
    <row r="508" spans="1:56" ht="16.5">
      <c r="E508" s="43" t="s">
        <v>81</v>
      </c>
      <c r="G508" s="43" t="s">
        <v>71</v>
      </c>
      <c r="H508" s="48" t="s">
        <v>1042</v>
      </c>
      <c r="AU508" s="164">
        <v>2.9399999999999999E-2</v>
      </c>
      <c r="AV508" s="29">
        <v>3.0300000000000001E-2</v>
      </c>
      <c r="AW508" s="29">
        <v>3.1099999999999999E-2</v>
      </c>
      <c r="AX508" s="29">
        <v>3.2199999999999999E-2</v>
      </c>
      <c r="AY508" s="29">
        <v>3.3500000000000002E-2</v>
      </c>
      <c r="BA508" s="44" t="str">
        <f t="shared" ca="1" si="65"/>
        <v>NGT_TO</v>
      </c>
      <c r="BB508" s="44" t="str">
        <f t="shared" ref="BB508:BB509" si="67">$A$502</f>
        <v>Variable policy</v>
      </c>
      <c r="BC508" s="44" t="str">
        <f t="shared" ref="BC508:BC509" si="68">$B$506</f>
        <v>Finance</v>
      </c>
      <c r="BD508" s="44" t="str">
        <f>$C$507</f>
        <v>Allowed return on capital</v>
      </c>
    </row>
    <row r="509" spans="1:56" ht="16.5">
      <c r="E509" s="43" t="s">
        <v>82</v>
      </c>
      <c r="G509" s="43" t="s">
        <v>71</v>
      </c>
      <c r="H509" s="48" t="s">
        <v>1043</v>
      </c>
      <c r="I509"/>
      <c r="AU509" s="164">
        <v>2.2800000000000001E-2</v>
      </c>
      <c r="AV509" s="164">
        <v>2.2800000000000001E-2</v>
      </c>
      <c r="AW509" s="164">
        <v>2.2800000000000001E-2</v>
      </c>
      <c r="AX509" s="164">
        <v>2.2800000000000001E-2</v>
      </c>
      <c r="AY509" s="164">
        <v>2.2800000000000001E-2</v>
      </c>
      <c r="BA509" s="44" t="str">
        <f t="shared" ca="1" si="65"/>
        <v>NGT_TO</v>
      </c>
      <c r="BB509" s="44" t="str">
        <f t="shared" si="67"/>
        <v>Variable policy</v>
      </c>
      <c r="BC509" s="44" t="str">
        <f t="shared" si="68"/>
        <v>Finance</v>
      </c>
      <c r="BD509" s="44" t="str">
        <f>$C$507</f>
        <v>Allowed return on capital</v>
      </c>
    </row>
    <row r="510" spans="1:56"/>
    <row r="511" spans="1:56" customFormat="1" ht="15" thickBot="1">
      <c r="C511" s="14" t="s">
        <v>125</v>
      </c>
      <c r="AT511" s="77"/>
      <c r="BA511" s="44"/>
    </row>
    <row r="512" spans="1:56" customFormat="1" ht="14.5">
      <c r="E512" t="s">
        <v>374</v>
      </c>
      <c r="G512" t="s">
        <v>101</v>
      </c>
      <c r="J512" s="43" t="s">
        <v>10</v>
      </c>
      <c r="AP512" s="36">
        <v>2022</v>
      </c>
      <c r="AQ512" s="36">
        <v>2023</v>
      </c>
      <c r="AR512" s="36">
        <v>2024</v>
      </c>
      <c r="AS512" s="36">
        <v>2025</v>
      </c>
      <c r="AT512" s="81">
        <v>2026</v>
      </c>
      <c r="AU512" s="168">
        <v>2027</v>
      </c>
      <c r="AV512" s="36">
        <v>2028</v>
      </c>
      <c r="AW512" s="36">
        <v>2029</v>
      </c>
      <c r="AX512" s="36">
        <v>2030</v>
      </c>
      <c r="AY512" s="36">
        <v>2031</v>
      </c>
      <c r="AZ512" s="36">
        <v>2032</v>
      </c>
      <c r="BA512" s="44" t="str">
        <f t="shared" ca="1" si="65"/>
        <v>NGT_TO</v>
      </c>
      <c r="BB512" s="44" t="str">
        <f t="shared" ref="BB512" si="69">$A$502</f>
        <v>Variable policy</v>
      </c>
      <c r="BC512" s="44" t="str">
        <f t="shared" ref="BC512:BC514" si="70">$B$506</f>
        <v>Finance</v>
      </c>
      <c r="BD512" s="44" t="str">
        <f>$C$511</f>
        <v>Inflation</v>
      </c>
    </row>
    <row r="513" spans="2:56" customFormat="1" ht="16.5">
      <c r="E513" t="s">
        <v>553</v>
      </c>
      <c r="G513" t="s">
        <v>21</v>
      </c>
      <c r="H513" t="s">
        <v>924</v>
      </c>
      <c r="J513" s="43" t="s">
        <v>10</v>
      </c>
      <c r="AP513" s="37">
        <v>3.6737186990396098</v>
      </c>
      <c r="AQ513" s="37">
        <v>8.7741270010504504</v>
      </c>
      <c r="AR513" s="37">
        <v>5.546901249206293</v>
      </c>
      <c r="AS513" s="37">
        <v>3.2148359255837144</v>
      </c>
      <c r="AT513" s="259">
        <v>3.8464084526910858</v>
      </c>
      <c r="AU513" s="37">
        <v>2.3689382169692408</v>
      </c>
      <c r="AV513" s="37">
        <v>2.1054516816467084</v>
      </c>
      <c r="AW513" s="37">
        <v>2.1285796243298183</v>
      </c>
      <c r="AX513" s="37">
        <v>2.0983342920036119</v>
      </c>
      <c r="AY513" s="37">
        <v>2.1355060506057066</v>
      </c>
      <c r="AZ513" s="37">
        <v>2.1355060506057066</v>
      </c>
      <c r="BA513" s="44" t="str">
        <f t="shared" ca="1" si="65"/>
        <v>NGT_TO</v>
      </c>
      <c r="BB513" s="44" t="str">
        <f>NGT_TO!$A$502</f>
        <v>Variable policy</v>
      </c>
      <c r="BC513" s="44" t="str">
        <f t="shared" si="70"/>
        <v>Finance</v>
      </c>
      <c r="BD513" s="44" t="str">
        <f>$C$511</f>
        <v>Inflation</v>
      </c>
    </row>
    <row r="514" spans="2:56" customFormat="1" ht="16.5">
      <c r="E514" t="s">
        <v>234</v>
      </c>
      <c r="G514" t="s">
        <v>33</v>
      </c>
      <c r="H514" t="s">
        <v>925</v>
      </c>
      <c r="J514" s="43"/>
      <c r="AT514" s="77"/>
      <c r="AU514" s="166">
        <v>2.1299999999999999E-2</v>
      </c>
      <c r="AV514" s="39">
        <v>2.1299999999999999E-2</v>
      </c>
      <c r="AW514" s="39">
        <v>2.1299999999999999E-2</v>
      </c>
      <c r="AX514" s="39">
        <v>2.1299999999999999E-2</v>
      </c>
      <c r="AY514" s="39">
        <v>2.1299999999999999E-2</v>
      </c>
      <c r="BA514" s="44" t="str">
        <f t="shared" ca="1" si="65"/>
        <v>NGT_TO</v>
      </c>
      <c r="BB514" s="44" t="str">
        <f>NGT_TO!$A$502</f>
        <v>Variable policy</v>
      </c>
      <c r="BC514" s="44" t="str">
        <f t="shared" si="70"/>
        <v>Finance</v>
      </c>
      <c r="BD514" s="44" t="str">
        <f>$C$511</f>
        <v>Inflation</v>
      </c>
    </row>
    <row r="515" spans="2:56" customFormat="1" ht="14.5">
      <c r="AT515" s="77"/>
      <c r="BA515" s="44"/>
    </row>
    <row r="516" spans="2:56" customFormat="1" ht="17.5" thickBot="1">
      <c r="B516" s="17" t="s">
        <v>277</v>
      </c>
      <c r="AT516" s="77"/>
      <c r="BA516" s="44"/>
    </row>
    <row r="517" spans="2:56" ht="17" thickTop="1">
      <c r="E517" s="43" t="s">
        <v>85</v>
      </c>
      <c r="G517" s="43" t="s">
        <v>33</v>
      </c>
      <c r="H517" s="48" t="s">
        <v>1044</v>
      </c>
      <c r="AU517" s="164">
        <v>0.25</v>
      </c>
      <c r="AV517" s="29">
        <v>0.25</v>
      </c>
      <c r="AW517" s="29">
        <v>0.25</v>
      </c>
      <c r="AX517" s="29">
        <v>0.25</v>
      </c>
      <c r="AY517" s="29">
        <v>0.25</v>
      </c>
      <c r="BA517" s="44" t="str">
        <f t="shared" ca="1" si="65"/>
        <v>NGT_TO</v>
      </c>
      <c r="BB517" s="44" t="str">
        <f t="shared" si="66"/>
        <v>Variable policy</v>
      </c>
      <c r="BC517" s="44" t="str">
        <f>$B$516</f>
        <v>Tax</v>
      </c>
    </row>
    <row r="518" spans="2:56" ht="16.5">
      <c r="E518" s="43" t="s">
        <v>86</v>
      </c>
      <c r="G518" s="43" t="s">
        <v>33</v>
      </c>
      <c r="H518" s="48" t="s">
        <v>1020</v>
      </c>
      <c r="AU518" s="164">
        <v>0.14000000000000001</v>
      </c>
      <c r="AV518" s="164">
        <v>0.14000000000000001</v>
      </c>
      <c r="AW518" s="164">
        <v>0.14000000000000001</v>
      </c>
      <c r="AX518" s="164">
        <v>0.14000000000000001</v>
      </c>
      <c r="AY518" s="164">
        <v>0.14000000000000001</v>
      </c>
      <c r="BA518" s="44" t="str">
        <f t="shared" ca="1" si="65"/>
        <v>NGT_TO</v>
      </c>
      <c r="BB518" s="44" t="str">
        <f t="shared" si="66"/>
        <v>Variable policy</v>
      </c>
      <c r="BC518" s="44" t="str">
        <f t="shared" ref="BC518:BC529" si="71">$B$516</f>
        <v>Tax</v>
      </c>
    </row>
    <row r="519" spans="2:56" ht="16.5">
      <c r="E519" s="43" t="s">
        <v>727</v>
      </c>
      <c r="G519" s="43" t="s">
        <v>33</v>
      </c>
      <c r="H519" s="48" t="s">
        <v>1045</v>
      </c>
      <c r="AU519" s="164">
        <v>0.06</v>
      </c>
      <c r="AV519" s="29">
        <v>0.06</v>
      </c>
      <c r="AW519" s="29">
        <v>0.06</v>
      </c>
      <c r="AX519" s="29">
        <v>0.06</v>
      </c>
      <c r="AY519" s="29">
        <v>0.06</v>
      </c>
      <c r="BA519" s="44" t="str">
        <f t="shared" ca="1" si="65"/>
        <v>NGT_TO</v>
      </c>
      <c r="BB519" s="44" t="str">
        <f t="shared" si="66"/>
        <v>Variable policy</v>
      </c>
      <c r="BC519" s="44" t="str">
        <f t="shared" si="71"/>
        <v>Tax</v>
      </c>
    </row>
    <row r="520" spans="2:56" ht="16.5">
      <c r="E520" s="43" t="s">
        <v>723</v>
      </c>
      <c r="G520" s="43" t="s">
        <v>33</v>
      </c>
      <c r="H520" s="48" t="s">
        <v>1046</v>
      </c>
      <c r="AU520" s="164">
        <v>0.03</v>
      </c>
      <c r="AV520" s="29">
        <v>0.03</v>
      </c>
      <c r="AW520" s="29">
        <v>0.03</v>
      </c>
      <c r="AX520" s="29">
        <v>0.03</v>
      </c>
      <c r="AY520" s="29">
        <v>0.03</v>
      </c>
      <c r="BA520" s="44" t="str">
        <f t="shared" ca="1" si="65"/>
        <v>NGT_TO</v>
      </c>
      <c r="BB520" s="44" t="str">
        <f t="shared" si="66"/>
        <v>Variable policy</v>
      </c>
      <c r="BC520" s="44" t="str">
        <f t="shared" si="71"/>
        <v>Tax</v>
      </c>
    </row>
    <row r="521" spans="2:56" ht="16.5">
      <c r="E521" s="43" t="s">
        <v>724</v>
      </c>
      <c r="G521" s="43" t="s">
        <v>33</v>
      </c>
      <c r="H521" s="48" t="s">
        <v>1047</v>
      </c>
      <c r="AU521" s="164">
        <v>2.2200000000000001E-2</v>
      </c>
      <c r="AV521" s="29">
        <v>2.2200000000000001E-2</v>
      </c>
      <c r="AW521" s="29">
        <v>2.2200000000000001E-2</v>
      </c>
      <c r="AX521" s="29">
        <v>2.2200000000000001E-2</v>
      </c>
      <c r="AY521" s="29">
        <v>2.2200000000000001E-2</v>
      </c>
      <c r="BA521" s="44" t="str">
        <f t="shared" ca="1" si="65"/>
        <v>NGT_TO</v>
      </c>
      <c r="BB521" s="44" t="str">
        <f t="shared" si="66"/>
        <v>Variable policy</v>
      </c>
      <c r="BC521" s="44" t="str">
        <f t="shared" si="71"/>
        <v>Tax</v>
      </c>
    </row>
    <row r="522" spans="2:56" ht="16.5">
      <c r="E522" s="43" t="s">
        <v>344</v>
      </c>
      <c r="G522" s="43" t="s">
        <v>33</v>
      </c>
      <c r="H522" s="48" t="s">
        <v>1019</v>
      </c>
      <c r="I522"/>
      <c r="AU522" s="164">
        <v>1</v>
      </c>
      <c r="AV522" s="29">
        <v>1</v>
      </c>
      <c r="AW522" s="29">
        <v>1</v>
      </c>
      <c r="AX522" s="29">
        <v>1</v>
      </c>
      <c r="AY522" s="29">
        <v>1</v>
      </c>
      <c r="BA522" s="44" t="str">
        <f t="shared" ca="1" si="65"/>
        <v>NGT_TO</v>
      </c>
      <c r="BB522" s="44" t="str">
        <f t="shared" si="66"/>
        <v>Variable policy</v>
      </c>
      <c r="BC522" s="44" t="str">
        <f t="shared" si="71"/>
        <v>Tax</v>
      </c>
    </row>
    <row r="523" spans="2:56" ht="16.5">
      <c r="E523" s="43" t="s">
        <v>722</v>
      </c>
      <c r="G523" s="43" t="s">
        <v>33</v>
      </c>
      <c r="H523" s="48" t="s">
        <v>1048</v>
      </c>
      <c r="I523"/>
      <c r="AU523" s="164">
        <v>1</v>
      </c>
      <c r="AV523" s="29">
        <v>1</v>
      </c>
      <c r="AW523" s="29">
        <v>1</v>
      </c>
      <c r="AX523" s="29">
        <v>1</v>
      </c>
      <c r="AY523" s="29">
        <v>1</v>
      </c>
      <c r="BA523" s="44" t="str">
        <f t="shared" ca="1" si="65"/>
        <v>NGT_TO</v>
      </c>
      <c r="BB523" s="44" t="str">
        <f t="shared" si="66"/>
        <v>Variable policy</v>
      </c>
      <c r="BC523" s="44" t="str">
        <f t="shared" si="71"/>
        <v>Tax</v>
      </c>
    </row>
    <row r="524" spans="2:56" ht="16.5">
      <c r="E524" s="43" t="s">
        <v>32</v>
      </c>
      <c r="G524" s="43" t="s">
        <v>33</v>
      </c>
      <c r="H524" s="48" t="s">
        <v>1049</v>
      </c>
      <c r="AU524" s="164">
        <v>0.2824468960192833</v>
      </c>
      <c r="AV524" s="29">
        <v>0.29927741745379666</v>
      </c>
      <c r="AW524" s="29">
        <v>0.30151331543060544</v>
      </c>
      <c r="AX524" s="29">
        <v>0.27764872491088638</v>
      </c>
      <c r="AY524" s="29">
        <v>0.27211226674312117</v>
      </c>
      <c r="BA524" s="44" t="str">
        <f t="shared" ca="1" si="65"/>
        <v>NGT_TO</v>
      </c>
      <c r="BB524" s="44" t="str">
        <f t="shared" si="66"/>
        <v>Variable policy</v>
      </c>
      <c r="BC524" s="44" t="str">
        <f t="shared" si="71"/>
        <v>Tax</v>
      </c>
    </row>
    <row r="525" spans="2:56" ht="16.5">
      <c r="E525" s="43" t="s">
        <v>342</v>
      </c>
      <c r="G525" s="43" t="s">
        <v>33</v>
      </c>
      <c r="H525" s="48" t="s">
        <v>1050</v>
      </c>
      <c r="AU525" s="164">
        <v>0.36920164562303565</v>
      </c>
      <c r="AV525" s="29">
        <v>0.3912017323575413</v>
      </c>
      <c r="AW525" s="29">
        <v>0.39412439578247993</v>
      </c>
      <c r="AX525" s="29">
        <v>0.36292969611972059</v>
      </c>
      <c r="AY525" s="29">
        <v>0.35569269158799988</v>
      </c>
      <c r="BA525" s="44" t="str">
        <f t="shared" ca="1" si="65"/>
        <v>NGT_TO</v>
      </c>
      <c r="BB525" s="44" t="str">
        <f t="shared" si="66"/>
        <v>Variable policy</v>
      </c>
      <c r="BC525" s="44" t="str">
        <f t="shared" si="71"/>
        <v>Tax</v>
      </c>
    </row>
    <row r="526" spans="2:56" ht="16.5">
      <c r="E526" s="43" t="s">
        <v>35</v>
      </c>
      <c r="G526" s="43" t="s">
        <v>33</v>
      </c>
      <c r="H526" s="48" t="s">
        <v>1051</v>
      </c>
      <c r="AU526" s="164">
        <v>3.8270772555380222E-2</v>
      </c>
      <c r="AV526" s="29">
        <v>4.0551261620357382E-2</v>
      </c>
      <c r="AW526" s="29">
        <v>4.0854219606915113E-2</v>
      </c>
      <c r="AX526" s="29">
        <v>3.7620633652247375E-2</v>
      </c>
      <c r="AY526" s="29">
        <v>3.6870458896259076E-2</v>
      </c>
      <c r="BA526" s="44" t="str">
        <f t="shared" ca="1" si="65"/>
        <v>NGT_TO</v>
      </c>
      <c r="BB526" s="44" t="str">
        <f t="shared" si="66"/>
        <v>Variable policy</v>
      </c>
      <c r="BC526" s="44" t="str">
        <f t="shared" si="71"/>
        <v>Tax</v>
      </c>
    </row>
    <row r="527" spans="2:56" ht="16.5">
      <c r="E527" s="43" t="s">
        <v>36</v>
      </c>
      <c r="G527" s="43" t="s">
        <v>33</v>
      </c>
      <c r="H527" s="48" t="s">
        <v>1052</v>
      </c>
      <c r="AU527" s="164">
        <v>1.5376978456638426E-2</v>
      </c>
      <c r="AV527" s="29">
        <v>1.6293265975318875E-2</v>
      </c>
      <c r="AW527" s="29">
        <v>1.641499276893987E-2</v>
      </c>
      <c r="AX527" s="29">
        <v>1.5115756347969732E-2</v>
      </c>
      <c r="AY527" s="29">
        <v>1.4814340403338523E-2</v>
      </c>
      <c r="BA527" s="44" t="str">
        <f t="shared" ca="1" si="65"/>
        <v>NGT_TO</v>
      </c>
      <c r="BB527" s="44" t="str">
        <f t="shared" si="66"/>
        <v>Variable policy</v>
      </c>
      <c r="BC527" s="44" t="str">
        <f t="shared" si="71"/>
        <v>Tax</v>
      </c>
    </row>
    <row r="528" spans="2:56" ht="16.5">
      <c r="E528" s="43" t="s">
        <v>38</v>
      </c>
      <c r="G528" s="43" t="s">
        <v>33</v>
      </c>
      <c r="H528" s="48" t="s">
        <v>1053</v>
      </c>
      <c r="AU528" s="164">
        <v>4.5118378636812215E-2</v>
      </c>
      <c r="AV528" s="29">
        <v>4.7806904690522206E-2</v>
      </c>
      <c r="AW528" s="29">
        <v>4.8164069498961286E-2</v>
      </c>
      <c r="AX528" s="29">
        <v>4.4351913492801265E-2</v>
      </c>
      <c r="AY528" s="29">
        <v>4.346751355978503E-2</v>
      </c>
      <c r="BA528" s="44" t="str">
        <f t="shared" ca="1" si="65"/>
        <v>NGT_TO</v>
      </c>
      <c r="BB528" s="44" t="str">
        <f t="shared" si="66"/>
        <v>Variable policy</v>
      </c>
      <c r="BC528" s="44" t="str">
        <f t="shared" si="71"/>
        <v>Tax</v>
      </c>
    </row>
    <row r="529" spans="1:56" ht="16.5">
      <c r="E529" s="43" t="s">
        <v>37</v>
      </c>
      <c r="G529" s="43" t="s">
        <v>33</v>
      </c>
      <c r="H529" s="48" t="s">
        <v>1054</v>
      </c>
      <c r="AU529" s="164">
        <v>0.24959269499254444</v>
      </c>
      <c r="AV529" s="29">
        <v>0.20487722313024759</v>
      </c>
      <c r="AW529" s="29">
        <v>0.1989368704526448</v>
      </c>
      <c r="AX529" s="29">
        <v>0.26234051662260038</v>
      </c>
      <c r="AY529" s="29">
        <v>0.27704982556354735</v>
      </c>
      <c r="BA529" s="44" t="str">
        <f t="shared" ca="1" si="65"/>
        <v>NGT_TO</v>
      </c>
      <c r="BB529" s="44" t="str">
        <f t="shared" si="66"/>
        <v>Variable policy</v>
      </c>
      <c r="BC529" s="44" t="str">
        <f t="shared" si="71"/>
        <v>Tax</v>
      </c>
    </row>
    <row r="530" spans="1:56" customFormat="1" ht="14.5">
      <c r="AT530" s="77"/>
    </row>
    <row r="531" spans="1:56" customFormat="1" ht="17.5" thickBot="1">
      <c r="B531" s="17" t="s">
        <v>533</v>
      </c>
      <c r="AT531" s="77"/>
      <c r="BA531" s="44"/>
    </row>
    <row r="532" spans="1:56" customFormat="1" ht="17" thickTop="1">
      <c r="E532" t="s">
        <v>454</v>
      </c>
      <c r="F532" s="4" t="s">
        <v>794</v>
      </c>
      <c r="G532" s="43" t="s">
        <v>21</v>
      </c>
      <c r="H532" s="4" t="s">
        <v>1055</v>
      </c>
      <c r="J532" s="43"/>
      <c r="AT532" s="77"/>
      <c r="AV532" s="37">
        <v>1</v>
      </c>
      <c r="AW532" s="37">
        <v>1</v>
      </c>
      <c r="AX532" s="37">
        <v>1</v>
      </c>
      <c r="AY532" s="37">
        <v>1</v>
      </c>
      <c r="BA532" s="44" t="str">
        <f t="shared" ca="1" si="4"/>
        <v>NGT_TO</v>
      </c>
      <c r="BB532" s="44" t="str">
        <f t="shared" si="66"/>
        <v>Variable policy</v>
      </c>
      <c r="BC532" s="44" t="str">
        <f>$B$531</f>
        <v>Forecasting Penalties</v>
      </c>
    </row>
    <row r="533" spans="1:56" customFormat="1" ht="16.5">
      <c r="E533" t="s">
        <v>455</v>
      </c>
      <c r="F533" s="4" t="s">
        <v>794</v>
      </c>
      <c r="G533" s="43" t="s">
        <v>21</v>
      </c>
      <c r="H533" s="4" t="s">
        <v>1056</v>
      </c>
      <c r="J533" s="43"/>
      <c r="AT533" s="77"/>
      <c r="AV533" s="37">
        <v>1</v>
      </c>
      <c r="AW533" s="37">
        <v>1</v>
      </c>
      <c r="AX533" s="37">
        <v>1</v>
      </c>
      <c r="AY533" s="37">
        <v>1</v>
      </c>
      <c r="BA533" s="44" t="str">
        <f t="shared" ca="1" si="4"/>
        <v>NGT_TO</v>
      </c>
      <c r="BB533" s="44" t="str">
        <f t="shared" si="66"/>
        <v>Variable policy</v>
      </c>
      <c r="BC533" s="44" t="str">
        <f>$B$531</f>
        <v>Forecasting Penalties</v>
      </c>
    </row>
    <row r="534" spans="1:56" customFormat="1" ht="14.5">
      <c r="AT534" s="77"/>
    </row>
    <row r="535" spans="1:56" customFormat="1" ht="20" thickBot="1">
      <c r="A535" s="15" t="s">
        <v>748</v>
      </c>
      <c r="AT535" s="77"/>
      <c r="BA535" s="44"/>
      <c r="BB535" s="44"/>
      <c r="BC535" s="44"/>
    </row>
    <row r="536" spans="1:56" ht="18" thickTop="1" thickBot="1">
      <c r="B536" s="11" t="s">
        <v>95</v>
      </c>
      <c r="AT536" s="77"/>
    </row>
    <row r="537" spans="1:56" ht="17" thickTop="1" thickBot="1">
      <c r="C537" s="12" t="s">
        <v>95</v>
      </c>
    </row>
    <row r="538" spans="1:56">
      <c r="E538" s="43" t="s">
        <v>92</v>
      </c>
      <c r="F538" s="43" t="s">
        <v>70</v>
      </c>
      <c r="G538" s="43" t="s">
        <v>33</v>
      </c>
      <c r="H538" s="245"/>
      <c r="I538" s="32">
        <v>0.6</v>
      </c>
      <c r="BA538" s="44" t="str">
        <f t="shared" ca="1" si="65"/>
        <v>NGT_TO</v>
      </c>
      <c r="BB538" s="44" t="str">
        <f>NGT_TO!$A$535</f>
        <v>Fixed policy</v>
      </c>
      <c r="BC538" s="44" t="str">
        <f>NGT_TO!$B$536</f>
        <v>Finance</v>
      </c>
      <c r="BD538" s="44" t="str">
        <f t="shared" ref="BD538:BD556" si="72">$C$537</f>
        <v>Finance</v>
      </c>
    </row>
    <row r="539" spans="1:56">
      <c r="E539" s="43" t="s">
        <v>96</v>
      </c>
      <c r="G539" s="43" t="s">
        <v>33</v>
      </c>
      <c r="AU539" s="165">
        <v>0</v>
      </c>
      <c r="AV539" s="32">
        <v>0</v>
      </c>
      <c r="AW539" s="32">
        <v>0</v>
      </c>
      <c r="AX539" s="32">
        <v>0</v>
      </c>
      <c r="AY539" s="32">
        <v>0</v>
      </c>
      <c r="BA539" s="44" t="str">
        <f t="shared" ca="1" si="65"/>
        <v>NGT_TO</v>
      </c>
      <c r="BB539" s="44" t="str">
        <f>NGT_TO!$A$535</f>
        <v>Fixed policy</v>
      </c>
      <c r="BC539" s="44" t="str">
        <f>NGT_TO!$B$536</f>
        <v>Finance</v>
      </c>
      <c r="BD539" s="44" t="str">
        <f t="shared" si="72"/>
        <v>Finance</v>
      </c>
    </row>
    <row r="540" spans="1:56">
      <c r="E540" s="43" t="s">
        <v>97</v>
      </c>
      <c r="G540" s="43" t="s">
        <v>33</v>
      </c>
      <c r="AU540" s="165">
        <v>0.05</v>
      </c>
      <c r="AV540" s="32">
        <v>0.05</v>
      </c>
      <c r="AW540" s="32">
        <v>0.05</v>
      </c>
      <c r="AX540" s="32">
        <v>0.05</v>
      </c>
      <c r="AY540" s="32">
        <v>0.05</v>
      </c>
      <c r="BA540" s="44" t="str">
        <f t="shared" ca="1" si="65"/>
        <v>NGT_TO</v>
      </c>
      <c r="BB540" s="44" t="str">
        <f>NGT_TO!$A$535</f>
        <v>Fixed policy</v>
      </c>
      <c r="BC540" s="44" t="str">
        <f>NGT_TO!$B$536</f>
        <v>Finance</v>
      </c>
      <c r="BD540" s="44" t="str">
        <f t="shared" si="72"/>
        <v>Finance</v>
      </c>
    </row>
    <row r="541" spans="1:56">
      <c r="E541" s="43" t="s">
        <v>725</v>
      </c>
      <c r="G541" s="43" t="s">
        <v>33</v>
      </c>
      <c r="AU541" s="165">
        <v>0.03</v>
      </c>
      <c r="AV541" s="32">
        <v>0.03</v>
      </c>
      <c r="AW541" s="32">
        <v>0.03</v>
      </c>
      <c r="AX541" s="32">
        <v>0.03</v>
      </c>
      <c r="AY541" s="32">
        <v>0.03</v>
      </c>
      <c r="BA541" s="44" t="str">
        <f t="shared" ca="1" si="65"/>
        <v>NGT_TO</v>
      </c>
      <c r="BB541" s="44" t="str">
        <f>NGT_TO!$A$535</f>
        <v>Fixed policy</v>
      </c>
      <c r="BC541" s="44" t="str">
        <f>NGT_TO!$B$536</f>
        <v>Finance</v>
      </c>
      <c r="BD541" s="44" t="str">
        <f t="shared" si="72"/>
        <v>Finance</v>
      </c>
    </row>
    <row r="542" spans="1:56">
      <c r="E542" s="43" t="s">
        <v>98</v>
      </c>
      <c r="G542" s="43" t="s">
        <v>33</v>
      </c>
      <c r="AU542" s="165">
        <v>0.6</v>
      </c>
      <c r="AV542" s="32">
        <v>0.6</v>
      </c>
      <c r="AW542" s="32">
        <v>0.6</v>
      </c>
      <c r="AX542" s="32">
        <v>0.6</v>
      </c>
      <c r="AY542" s="32">
        <v>0.6</v>
      </c>
      <c r="BA542" s="44" t="str">
        <f t="shared" ref="BA542:BA599" ca="1" si="73">$A$1</f>
        <v>NGT_TO</v>
      </c>
      <c r="BB542" s="44" t="str">
        <f>NGT_TO!$A$535</f>
        <v>Fixed policy</v>
      </c>
      <c r="BC542" s="44" t="str">
        <f>NGT_TO!$B$536</f>
        <v>Finance</v>
      </c>
      <c r="BD542" s="44" t="str">
        <f t="shared" si="72"/>
        <v>Finance</v>
      </c>
    </row>
    <row r="543" spans="1:56">
      <c r="E543" s="43" t="s">
        <v>99</v>
      </c>
      <c r="G543" s="43" t="s">
        <v>33</v>
      </c>
      <c r="AU543" s="165">
        <v>0.3</v>
      </c>
      <c r="AV543" s="32">
        <v>0.3</v>
      </c>
      <c r="AW543" s="32">
        <v>0.3</v>
      </c>
      <c r="AX543" s="32">
        <v>0.3</v>
      </c>
      <c r="AY543" s="32">
        <v>0.3</v>
      </c>
      <c r="BA543" s="44" t="str">
        <f t="shared" ca="1" si="73"/>
        <v>NGT_TO</v>
      </c>
      <c r="BB543" s="44" t="str">
        <f>NGT_TO!$A$535</f>
        <v>Fixed policy</v>
      </c>
      <c r="BC543" s="44" t="str">
        <f>NGT_TO!$B$536</f>
        <v>Finance</v>
      </c>
      <c r="BD543" s="44" t="str">
        <f t="shared" si="72"/>
        <v>Finance</v>
      </c>
    </row>
    <row r="544" spans="1:56"/>
    <row r="545" spans="2:56" ht="16.5" thickBot="1">
      <c r="C545" s="12" t="s">
        <v>88</v>
      </c>
    </row>
    <row r="546" spans="2:56">
      <c r="E546" s="43" t="s">
        <v>89</v>
      </c>
      <c r="G546" s="43" t="s">
        <v>71</v>
      </c>
      <c r="H546" s="245"/>
      <c r="AU546" s="165">
        <v>0</v>
      </c>
      <c r="AV546" s="32">
        <v>0</v>
      </c>
      <c r="AW546" s="32">
        <v>0</v>
      </c>
      <c r="AX546" s="32">
        <v>0</v>
      </c>
      <c r="AY546" s="32">
        <v>0</v>
      </c>
      <c r="BA546" s="44" t="str">
        <f t="shared" ca="1" si="65"/>
        <v>NGT_TO</v>
      </c>
      <c r="BB546" s="44" t="str">
        <f>NGT_TO!$A$535</f>
        <v>Fixed policy</v>
      </c>
      <c r="BC546" s="44" t="str">
        <f>NGT_TO!$B$536</f>
        <v>Finance</v>
      </c>
      <c r="BD546" s="44" t="str">
        <f>NGT_TO!$C$545</f>
        <v>Allowed return on capital</v>
      </c>
    </row>
    <row r="547" spans="2:56">
      <c r="E547" s="43" t="s">
        <v>90</v>
      </c>
      <c r="G547" s="43" t="s">
        <v>21</v>
      </c>
      <c r="AU547" s="169">
        <v>0.83</v>
      </c>
      <c r="AV547" s="40">
        <v>0.83</v>
      </c>
      <c r="AW547" s="40">
        <v>0.83</v>
      </c>
      <c r="AX547" s="40">
        <v>0.83</v>
      </c>
      <c r="AY547" s="40">
        <v>0.83</v>
      </c>
      <c r="BA547" s="44" t="str">
        <f t="shared" ca="1" si="65"/>
        <v>NGT_TO</v>
      </c>
      <c r="BB547" s="44" t="str">
        <f>NGT_TO!$A$535</f>
        <v>Fixed policy</v>
      </c>
      <c r="BC547" s="44" t="str">
        <f>NGT_TO!$B$536</f>
        <v>Finance</v>
      </c>
      <c r="BD547" s="44" t="str">
        <f>NGT_TO!$C$545</f>
        <v>Allowed return on capital</v>
      </c>
    </row>
    <row r="548" spans="2:56">
      <c r="E548" s="43" t="s">
        <v>91</v>
      </c>
      <c r="G548" s="43" t="s">
        <v>33</v>
      </c>
      <c r="AU548" s="165">
        <v>6.9000000000000006E-2</v>
      </c>
      <c r="AV548" s="32">
        <v>6.9000000000000006E-2</v>
      </c>
      <c r="AW548" s="32">
        <v>6.9000000000000006E-2</v>
      </c>
      <c r="AX548" s="32">
        <v>6.9000000000000006E-2</v>
      </c>
      <c r="AY548" s="32">
        <v>6.9000000000000006E-2</v>
      </c>
      <c r="BA548" s="44" t="str">
        <f t="shared" ca="1" si="65"/>
        <v>NGT_TO</v>
      </c>
      <c r="BB548" s="44" t="str">
        <f>NGT_TO!$A$535</f>
        <v>Fixed policy</v>
      </c>
      <c r="BC548" s="44" t="str">
        <f>NGT_TO!$B$536</f>
        <v>Finance</v>
      </c>
      <c r="BD548" s="44" t="str">
        <f>NGT_TO!$C$545</f>
        <v>Allowed return on capital</v>
      </c>
    </row>
    <row r="549" spans="2:56">
      <c r="E549" s="43" t="s">
        <v>559</v>
      </c>
      <c r="G549" s="43" t="s">
        <v>33</v>
      </c>
      <c r="H549" s="43" t="s">
        <v>93</v>
      </c>
      <c r="AU549" s="165">
        <v>0.6</v>
      </c>
      <c r="AV549" s="32">
        <v>0.6</v>
      </c>
      <c r="AW549" s="32">
        <v>0.6</v>
      </c>
      <c r="AX549" s="32">
        <v>0.6</v>
      </c>
      <c r="AY549" s="32">
        <v>0.6</v>
      </c>
      <c r="BA549" s="44" t="str">
        <f t="shared" ca="1" si="65"/>
        <v>NGT_TO</v>
      </c>
      <c r="BB549" s="44" t="str">
        <f>NGT_TO!$A$535</f>
        <v>Fixed policy</v>
      </c>
      <c r="BC549" s="44" t="str">
        <f>NGT_TO!$B$536</f>
        <v>Finance</v>
      </c>
      <c r="BD549" s="44" t="str">
        <f>NGT_TO!$C$545</f>
        <v>Allowed return on capital</v>
      </c>
    </row>
    <row r="550" spans="2:56" customFormat="1" ht="14.5">
      <c r="AT550" s="77"/>
      <c r="BA550" s="44"/>
    </row>
    <row r="551" spans="2:56" customFormat="1" ht="17.5" thickBot="1">
      <c r="B551" s="17" t="s">
        <v>277</v>
      </c>
      <c r="AT551" s="77"/>
      <c r="BA551" s="44"/>
    </row>
    <row r="552" spans="2:56" ht="16.5" thickTop="1">
      <c r="E552" s="43" t="s">
        <v>67</v>
      </c>
      <c r="G552" s="43" t="s">
        <v>33</v>
      </c>
      <c r="AU552" s="165">
        <v>0.6</v>
      </c>
      <c r="AV552" s="32">
        <v>0.6</v>
      </c>
      <c r="AW552" s="32">
        <v>0.6</v>
      </c>
      <c r="AX552" s="32">
        <v>0.6</v>
      </c>
      <c r="AY552" s="32">
        <v>0.6</v>
      </c>
      <c r="BA552" s="44" t="str">
        <f t="shared" ca="1" si="49"/>
        <v>NGT_TO</v>
      </c>
      <c r="BB552" s="44" t="str">
        <f>NGT_TO!$A$535</f>
        <v>Fixed policy</v>
      </c>
      <c r="BC552" s="44" t="str">
        <f>$B$551</f>
        <v>Tax</v>
      </c>
    </row>
    <row r="553" spans="2:56">
      <c r="E553" s="43" t="s">
        <v>345</v>
      </c>
      <c r="G553" s="43" t="s">
        <v>33</v>
      </c>
      <c r="I553"/>
      <c r="AU553" s="165">
        <v>1</v>
      </c>
      <c r="AV553" s="32">
        <v>1</v>
      </c>
      <c r="AW553" s="32">
        <v>1</v>
      </c>
      <c r="AX553" s="32">
        <v>1</v>
      </c>
      <c r="AY553" s="32">
        <v>1</v>
      </c>
      <c r="BA553" s="44" t="str">
        <f t="shared" ca="1" si="49"/>
        <v>NGT_TO</v>
      </c>
      <c r="BB553" s="44" t="str">
        <f>NGT_TO!$A$535</f>
        <v>Fixed policy</v>
      </c>
      <c r="BC553" s="44" t="str">
        <f>$B$551</f>
        <v>Tax</v>
      </c>
    </row>
    <row r="554" spans="2:56">
      <c r="E554" s="43" t="s">
        <v>721</v>
      </c>
      <c r="G554" s="43" t="s">
        <v>33</v>
      </c>
      <c r="I554"/>
      <c r="AU554" s="165">
        <v>0.5</v>
      </c>
      <c r="AV554" s="32">
        <v>0.5</v>
      </c>
      <c r="AW554" s="32">
        <v>0.5</v>
      </c>
      <c r="AX554" s="32">
        <v>0.5</v>
      </c>
      <c r="AY554" s="32">
        <v>0.5</v>
      </c>
      <c r="BA554" s="44" t="str">
        <f t="shared" ca="1" si="49"/>
        <v>NGT_TO</v>
      </c>
      <c r="BB554" s="44" t="str">
        <f>NGT_TO!$A$535</f>
        <v>Fixed policy</v>
      </c>
      <c r="BC554" s="44" t="str">
        <f>$B$551</f>
        <v>Tax</v>
      </c>
    </row>
    <row r="555" spans="2:56">
      <c r="E555" s="43" t="s">
        <v>247</v>
      </c>
      <c r="G555" s="43" t="str">
        <f t="shared" ref="G555:G556" si="74">nominal</f>
        <v>£m nominal</v>
      </c>
      <c r="I555" s="31">
        <v>5</v>
      </c>
      <c r="AU555"/>
      <c r="AV555"/>
      <c r="AW555"/>
      <c r="AX555"/>
      <c r="AY555"/>
      <c r="BA555" s="44" t="str">
        <f t="shared" ca="1" si="73"/>
        <v>NGT_TO</v>
      </c>
      <c r="BB555" s="44" t="str">
        <f>NGT_TO!$A$535</f>
        <v>Fixed policy</v>
      </c>
      <c r="BC555" s="44" t="str">
        <f>NGT_TO!$B$536</f>
        <v>Finance</v>
      </c>
      <c r="BD555" s="44" t="str">
        <f t="shared" si="72"/>
        <v>Finance</v>
      </c>
    </row>
    <row r="556" spans="2:56">
      <c r="E556" s="43" t="s">
        <v>246</v>
      </c>
      <c r="G556" s="43" t="str">
        <f t="shared" si="74"/>
        <v>£m nominal</v>
      </c>
      <c r="I556" s="32">
        <v>0.5</v>
      </c>
      <c r="AU556"/>
      <c r="AV556"/>
      <c r="AW556"/>
      <c r="AX556"/>
      <c r="AY556"/>
      <c r="BA556" s="44" t="str">
        <f t="shared" ca="1" si="73"/>
        <v>NGT_TO</v>
      </c>
      <c r="BB556" s="44" t="str">
        <f>NGT_TO!$A$535</f>
        <v>Fixed policy</v>
      </c>
      <c r="BC556" s="44" t="str">
        <f>NGT_TO!$B$536</f>
        <v>Finance</v>
      </c>
      <c r="BD556" s="44" t="str">
        <f t="shared" si="72"/>
        <v>Finance</v>
      </c>
    </row>
    <row r="557" spans="2:56"/>
    <row r="558" spans="2:56" ht="17.5" thickBot="1">
      <c r="B558" s="11" t="s">
        <v>100</v>
      </c>
    </row>
    <row r="559" spans="2:56" ht="16.5" thickTop="1">
      <c r="E559" s="43" t="s">
        <v>314</v>
      </c>
      <c r="G559" s="43" t="s">
        <v>33</v>
      </c>
      <c r="I559" s="32">
        <v>0.39</v>
      </c>
      <c r="BA559" s="44" t="str">
        <f t="shared" ca="1" si="73"/>
        <v>NGT_TO</v>
      </c>
      <c r="BB559" s="44" t="str">
        <f>$A$535</f>
        <v>Fixed policy</v>
      </c>
      <c r="BC559" s="44" t="str">
        <f>$B$558</f>
        <v>TIM and capitalisation</v>
      </c>
    </row>
    <row r="560" spans="2:56">
      <c r="E560" s="43" t="s">
        <v>9</v>
      </c>
      <c r="G560" s="43" t="s">
        <v>33</v>
      </c>
      <c r="AU560" s="165">
        <v>0.59</v>
      </c>
      <c r="AV560" s="32">
        <v>0.59</v>
      </c>
      <c r="AW560" s="32">
        <v>0.59</v>
      </c>
      <c r="AX560" s="32">
        <v>0.59</v>
      </c>
      <c r="AY560" s="32">
        <v>0.59</v>
      </c>
      <c r="BA560" s="44" t="str">
        <f t="shared" ca="1" si="73"/>
        <v>NGT_TO</v>
      </c>
      <c r="BB560" s="44" t="str">
        <f>$A$535</f>
        <v>Fixed policy</v>
      </c>
      <c r="BC560" s="44" t="str">
        <f>$B$558</f>
        <v>TIM and capitalisation</v>
      </c>
    </row>
    <row r="561" spans="2:55">
      <c r="E561" s="43" t="s">
        <v>11</v>
      </c>
      <c r="G561" s="43" t="s">
        <v>33</v>
      </c>
      <c r="AU561" s="165">
        <v>0.9</v>
      </c>
      <c r="AV561" s="32">
        <v>0.9</v>
      </c>
      <c r="AW561" s="32">
        <v>0.9</v>
      </c>
      <c r="AX561" s="32">
        <v>0.9</v>
      </c>
      <c r="AY561" s="32">
        <v>0.9</v>
      </c>
      <c r="BA561" s="44" t="str">
        <f t="shared" ca="1" si="73"/>
        <v>NGT_TO</v>
      </c>
      <c r="BB561" s="44" t="str">
        <f>$A$535</f>
        <v>Fixed policy</v>
      </c>
      <c r="BC561" s="44" t="str">
        <f>$B$558</f>
        <v>TIM and capitalisation</v>
      </c>
    </row>
    <row r="562" spans="2:55">
      <c r="I562"/>
    </row>
    <row r="563" spans="2:55" ht="17.5" thickBot="1">
      <c r="B563" s="11" t="s">
        <v>69</v>
      </c>
    </row>
    <row r="564" spans="2:55" customFormat="1" ht="15" thickTop="1">
      <c r="E564" t="s">
        <v>560</v>
      </c>
      <c r="F564" s="4" t="s">
        <v>886</v>
      </c>
      <c r="G564" t="s">
        <v>71</v>
      </c>
      <c r="H564" s="4" t="s">
        <v>575</v>
      </c>
      <c r="I564" s="112">
        <v>0.03</v>
      </c>
      <c r="AT564" s="77"/>
      <c r="BA564" s="44" t="str">
        <f t="shared" ca="1" si="73"/>
        <v>NGT_TO</v>
      </c>
      <c r="BB564" s="44" t="str">
        <f t="shared" ref="BB564:BB567" si="75">$A$125</f>
        <v>Fixed Inputs</v>
      </c>
      <c r="BC564" s="44" t="str">
        <f>$B$563</f>
        <v>Operational performance and return adjustment</v>
      </c>
    </row>
    <row r="565" spans="2:55" customFormat="1" ht="14.5">
      <c r="E565" t="s">
        <v>561</v>
      </c>
      <c r="F565" s="4" t="s">
        <v>886</v>
      </c>
      <c r="G565" t="s">
        <v>71</v>
      </c>
      <c r="H565" s="4" t="s">
        <v>576</v>
      </c>
      <c r="I565" s="112">
        <v>0.04</v>
      </c>
      <c r="AT565" s="77"/>
      <c r="BA565" s="44" t="str">
        <f t="shared" ca="1" si="73"/>
        <v>NGT_TO</v>
      </c>
      <c r="BB565" s="44" t="str">
        <f t="shared" si="75"/>
        <v>Fixed Inputs</v>
      </c>
      <c r="BC565" s="44" t="str">
        <f>$B$563</f>
        <v>Operational performance and return adjustment</v>
      </c>
    </row>
    <row r="566" spans="2:55" customFormat="1" ht="14.5">
      <c r="E566" t="s">
        <v>562</v>
      </c>
      <c r="F566" s="4" t="s">
        <v>886</v>
      </c>
      <c r="G566" t="s">
        <v>33</v>
      </c>
      <c r="H566" s="4" t="s">
        <v>577</v>
      </c>
      <c r="I566" s="112">
        <v>0.5</v>
      </c>
      <c r="AT566" s="77"/>
      <c r="BA566" s="44" t="str">
        <f t="shared" ca="1" si="73"/>
        <v>NGT_TO</v>
      </c>
      <c r="BB566" s="44" t="str">
        <f t="shared" si="75"/>
        <v>Fixed Inputs</v>
      </c>
      <c r="BC566" s="44" t="str">
        <f>$B$563</f>
        <v>Operational performance and return adjustment</v>
      </c>
    </row>
    <row r="567" spans="2:55" customFormat="1" ht="14.5">
      <c r="E567" t="s">
        <v>563</v>
      </c>
      <c r="F567" s="4" t="s">
        <v>886</v>
      </c>
      <c r="G567" t="s">
        <v>33</v>
      </c>
      <c r="H567" s="4" t="s">
        <v>578</v>
      </c>
      <c r="I567" s="112">
        <v>0.9</v>
      </c>
      <c r="AT567" s="77"/>
      <c r="BA567" s="44" t="str">
        <f t="shared" ca="1" si="73"/>
        <v>NGT_TO</v>
      </c>
      <c r="BB567" s="44" t="str">
        <f t="shared" si="75"/>
        <v>Fixed Inputs</v>
      </c>
      <c r="BC567" s="44" t="str">
        <f>$B$563</f>
        <v>Operational performance and return adjustment</v>
      </c>
    </row>
    <row r="568" spans="2:55"/>
    <row r="569" spans="2:55" ht="17.5" thickBot="1">
      <c r="B569" s="11" t="s">
        <v>749</v>
      </c>
    </row>
    <row r="570" spans="2:55" ht="16.5" thickTop="1">
      <c r="E570" s="47" t="s">
        <v>253</v>
      </c>
      <c r="G570" s="43" t="s">
        <v>33</v>
      </c>
      <c r="I570" s="32">
        <v>1.1111111111111112</v>
      </c>
      <c r="BA570" s="44" t="str">
        <f t="shared" ca="1" si="9"/>
        <v>NGT_TO</v>
      </c>
      <c r="BB570" s="44" t="str">
        <f t="shared" ref="BB570:BB575" si="76">$A$125</f>
        <v>Fixed Inputs</v>
      </c>
      <c r="BC570" s="44" t="str">
        <f t="shared" ref="BC570:BC575" si="77">$B$569</f>
        <v>Assumed cost multipliers</v>
      </c>
    </row>
    <row r="571" spans="2:55">
      <c r="E571" s="43" t="s">
        <v>373</v>
      </c>
      <c r="G571" s="43" t="s">
        <v>33</v>
      </c>
      <c r="I571" s="32">
        <v>1.1111111111111112</v>
      </c>
      <c r="BA571" s="44" t="str">
        <f t="shared" ca="1" si="9"/>
        <v>NGT_TO</v>
      </c>
      <c r="BB571" s="44" t="str">
        <f t="shared" si="76"/>
        <v>Fixed Inputs</v>
      </c>
      <c r="BC571" s="44" t="str">
        <f t="shared" si="77"/>
        <v>Assumed cost multipliers</v>
      </c>
    </row>
    <row r="572" spans="2:55">
      <c r="E572" s="43" t="s">
        <v>254</v>
      </c>
      <c r="G572" s="43" t="s">
        <v>33</v>
      </c>
      <c r="I572" s="32">
        <v>1</v>
      </c>
      <c r="BA572" s="44" t="str">
        <f t="shared" ca="1" si="9"/>
        <v>NGT_TO</v>
      </c>
      <c r="BB572" s="44" t="str">
        <f t="shared" si="76"/>
        <v>Fixed Inputs</v>
      </c>
      <c r="BC572" s="44" t="str">
        <f t="shared" si="77"/>
        <v>Assumed cost multipliers</v>
      </c>
    </row>
    <row r="573" spans="2:55">
      <c r="E573" s="43" t="s">
        <v>255</v>
      </c>
      <c r="G573" s="43" t="s">
        <v>33</v>
      </c>
      <c r="I573" s="32">
        <v>0</v>
      </c>
      <c r="BA573" s="44" t="str">
        <f t="shared" ca="1" si="9"/>
        <v>NGT_TO</v>
      </c>
      <c r="BB573" s="44" t="str">
        <f t="shared" si="76"/>
        <v>Fixed Inputs</v>
      </c>
      <c r="BC573" s="44" t="str">
        <f t="shared" si="77"/>
        <v>Assumed cost multipliers</v>
      </c>
    </row>
    <row r="574" spans="2:55">
      <c r="E574" s="43" t="s">
        <v>256</v>
      </c>
      <c r="G574" s="43" t="s">
        <v>33</v>
      </c>
      <c r="I574" s="32">
        <v>0</v>
      </c>
      <c r="BA574" s="44" t="str">
        <f t="shared" ca="1" si="9"/>
        <v>NGT_TO</v>
      </c>
      <c r="BB574" s="44" t="str">
        <f t="shared" si="76"/>
        <v>Fixed Inputs</v>
      </c>
      <c r="BC574" s="44" t="str">
        <f t="shared" si="77"/>
        <v>Assumed cost multipliers</v>
      </c>
    </row>
    <row r="575" spans="2:55">
      <c r="E575" s="43" t="s">
        <v>257</v>
      </c>
      <c r="G575" s="43" t="s">
        <v>33</v>
      </c>
      <c r="I575" s="32">
        <v>0</v>
      </c>
      <c r="BA575" s="44" t="str">
        <f t="shared" ca="1" si="9"/>
        <v>NGT_TO</v>
      </c>
      <c r="BB575" s="44" t="str">
        <f t="shared" si="76"/>
        <v>Fixed Inputs</v>
      </c>
      <c r="BC575" s="44" t="str">
        <f t="shared" si="77"/>
        <v>Assumed cost multipliers</v>
      </c>
    </row>
    <row r="576" spans="2:55"/>
    <row r="577" spans="2:55" ht="17.5" thickBot="1">
      <c r="B577" s="11" t="s">
        <v>744</v>
      </c>
      <c r="I577"/>
    </row>
    <row r="578" spans="2:55" ht="16.5" thickTop="1">
      <c r="E578" s="43" t="s">
        <v>1021</v>
      </c>
      <c r="G578" s="43" t="s">
        <v>33</v>
      </c>
      <c r="I578" s="112">
        <v>0.06</v>
      </c>
      <c r="BA578" s="44" t="str">
        <f t="shared" ca="1" si="73"/>
        <v>NGT_TO</v>
      </c>
      <c r="BB578" s="44" t="str">
        <f>$A$535</f>
        <v>Fixed policy</v>
      </c>
      <c r="BC578" s="44" t="str">
        <f>$B$577</f>
        <v>Allowed revenue true-up</v>
      </c>
    </row>
    <row r="579" spans="2:55">
      <c r="E579" s="43" t="s">
        <v>1022</v>
      </c>
      <c r="G579" s="43" t="s">
        <v>33</v>
      </c>
      <c r="I579" s="112">
        <v>0.06</v>
      </c>
      <c r="BA579" s="44" t="str">
        <f t="shared" ca="1" si="73"/>
        <v>NGT_TO</v>
      </c>
      <c r="BB579" s="44" t="str">
        <f>$A$535</f>
        <v>Fixed policy</v>
      </c>
      <c r="BC579" s="44" t="str">
        <f>$B$577</f>
        <v>Allowed revenue true-up</v>
      </c>
    </row>
    <row r="580" spans="2:55">
      <c r="E580" s="43" t="s">
        <v>452</v>
      </c>
      <c r="G580" s="43" t="s">
        <v>33</v>
      </c>
      <c r="I580" s="112">
        <v>1.15E-2</v>
      </c>
      <c r="BA580" s="44" t="str">
        <f t="shared" ca="1" si="73"/>
        <v>NGT_TO</v>
      </c>
      <c r="BB580" s="44" t="str">
        <f t="shared" ref="BB580:BB583" si="78">$A$535</f>
        <v>Fixed policy</v>
      </c>
      <c r="BC580" s="44" t="str">
        <f t="shared" ref="BC580:BC583" si="79">$B$577</f>
        <v>Allowed revenue true-up</v>
      </c>
    </row>
    <row r="581" spans="2:55">
      <c r="E581" s="43" t="s">
        <v>453</v>
      </c>
      <c r="G581" s="43" t="s">
        <v>33</v>
      </c>
      <c r="I581" s="112">
        <v>1.15E-2</v>
      </c>
      <c r="BA581" s="44" t="str">
        <f t="shared" ca="1" si="73"/>
        <v>NGT_TO</v>
      </c>
      <c r="BB581" s="44" t="str">
        <f t="shared" si="78"/>
        <v>Fixed policy</v>
      </c>
      <c r="BC581" s="44" t="str">
        <f t="shared" si="79"/>
        <v>Allowed revenue true-up</v>
      </c>
    </row>
    <row r="582" spans="2:55">
      <c r="E582" s="43" t="s">
        <v>1161</v>
      </c>
      <c r="G582" s="43" t="s">
        <v>75</v>
      </c>
      <c r="I582" s="41">
        <v>1</v>
      </c>
      <c r="BA582" s="44" t="str">
        <f t="shared" ca="1" si="73"/>
        <v>NGT_TO</v>
      </c>
      <c r="BB582" s="44" t="str">
        <f t="shared" si="78"/>
        <v>Fixed policy</v>
      </c>
      <c r="BC582" s="44" t="str">
        <f t="shared" si="79"/>
        <v>Allowed revenue true-up</v>
      </c>
    </row>
    <row r="583" spans="2:55">
      <c r="E583" s="43" t="s">
        <v>1162</v>
      </c>
      <c r="G583" s="43" t="s">
        <v>75</v>
      </c>
      <c r="I583" s="41">
        <v>1</v>
      </c>
      <c r="BA583" s="44" t="str">
        <f t="shared" ca="1" si="73"/>
        <v>NGT_TO</v>
      </c>
      <c r="BB583" s="44" t="str">
        <f t="shared" si="78"/>
        <v>Fixed policy</v>
      </c>
      <c r="BC583" s="44" t="str">
        <f t="shared" si="79"/>
        <v>Allowed revenue true-up</v>
      </c>
    </row>
    <row r="584" spans="2:55" customFormat="1" ht="14.5">
      <c r="AT584" s="77"/>
      <c r="BA584" s="44"/>
    </row>
    <row r="585" spans="2:55" customFormat="1" ht="17.5" thickBot="1">
      <c r="B585" s="17" t="s">
        <v>104</v>
      </c>
      <c r="AT585" s="77"/>
      <c r="BA585" s="44"/>
    </row>
    <row r="586" spans="2:55" customFormat="1" ht="15" thickTop="1">
      <c r="E586" t="s">
        <v>118</v>
      </c>
      <c r="G586" t="s">
        <v>77</v>
      </c>
      <c r="I586" s="35">
        <v>45382</v>
      </c>
      <c r="AT586" s="77"/>
      <c r="BA586" s="44" t="str">
        <f t="shared" ca="1" si="73"/>
        <v>NGT_TO</v>
      </c>
      <c r="BB586" s="44" t="str">
        <f>NGT_TO!$A$535</f>
        <v>Fixed policy</v>
      </c>
      <c r="BC586" s="44" t="str">
        <f t="shared" ref="BC586:BC592" si="80">$B$585</f>
        <v>Flags</v>
      </c>
    </row>
    <row r="587" spans="2:55" customFormat="1" ht="14.5">
      <c r="E587" t="s">
        <v>390</v>
      </c>
      <c r="G587" t="s">
        <v>77</v>
      </c>
      <c r="I587" s="35">
        <v>46477</v>
      </c>
      <c r="AT587" s="77"/>
      <c r="AU587" s="170">
        <v>1</v>
      </c>
      <c r="BA587" s="44" t="str">
        <f t="shared" ca="1" si="73"/>
        <v>NGT_TO</v>
      </c>
      <c r="BB587" s="44" t="str">
        <f>NGT_TO!$A$535</f>
        <v>Fixed policy</v>
      </c>
      <c r="BC587" s="44" t="str">
        <f t="shared" si="80"/>
        <v>Flags</v>
      </c>
    </row>
    <row r="588" spans="2:55" customFormat="1" ht="14.5">
      <c r="E588" t="s">
        <v>105</v>
      </c>
      <c r="G588" t="s">
        <v>109</v>
      </c>
      <c r="AT588" s="77"/>
      <c r="AU588" s="170">
        <v>1</v>
      </c>
      <c r="AV588" s="41">
        <v>1</v>
      </c>
      <c r="AW588" s="41">
        <v>1</v>
      </c>
      <c r="AX588" s="41">
        <v>1</v>
      </c>
      <c r="AY588" s="41">
        <v>1</v>
      </c>
      <c r="BA588" s="44" t="str">
        <f t="shared" ca="1" si="73"/>
        <v>NGT_TO</v>
      </c>
      <c r="BB588" s="44" t="str">
        <f>NGT_TO!$A$535</f>
        <v>Fixed policy</v>
      </c>
      <c r="BC588" s="44" t="str">
        <f t="shared" si="80"/>
        <v>Flags</v>
      </c>
    </row>
    <row r="589" spans="2:55" customFormat="1" ht="14.5">
      <c r="E589" t="s">
        <v>107</v>
      </c>
      <c r="G589" t="s">
        <v>109</v>
      </c>
      <c r="J589" s="43" t="s">
        <v>10</v>
      </c>
      <c r="AP589" s="41">
        <v>1</v>
      </c>
      <c r="AQ589" s="41">
        <v>1</v>
      </c>
      <c r="AR589" s="41">
        <v>1</v>
      </c>
      <c r="AS589" s="41">
        <v>1</v>
      </c>
      <c r="AT589" s="83">
        <v>1</v>
      </c>
      <c r="BA589" s="44" t="str">
        <f t="shared" ca="1" si="73"/>
        <v>NGT_TO</v>
      </c>
      <c r="BB589" s="44" t="str">
        <f>NGT_TO!$A$535</f>
        <v>Fixed policy</v>
      </c>
      <c r="BC589" s="44" t="str">
        <f t="shared" si="80"/>
        <v>Flags</v>
      </c>
    </row>
    <row r="590" spans="2:55" customFormat="1" ht="14.5">
      <c r="E590" t="s">
        <v>398</v>
      </c>
      <c r="G590" t="s">
        <v>109</v>
      </c>
      <c r="J590" s="43" t="s">
        <v>10</v>
      </c>
      <c r="AH590" s="41">
        <v>1</v>
      </c>
      <c r="AI590" s="41">
        <v>1</v>
      </c>
      <c r="AJ590" s="41">
        <v>1</v>
      </c>
      <c r="AK590" s="41">
        <v>1</v>
      </c>
      <c r="AL590" s="41">
        <v>1</v>
      </c>
      <c r="AM590" s="41">
        <v>1</v>
      </c>
      <c r="AN590" s="41">
        <v>1</v>
      </c>
      <c r="AO590" s="41">
        <v>1</v>
      </c>
      <c r="AT590" s="77"/>
      <c r="BA590" s="44" t="str">
        <f t="shared" ca="1" si="73"/>
        <v>NGT_TO</v>
      </c>
      <c r="BB590" s="44" t="str">
        <f>NGT_TO!$A$535</f>
        <v>Fixed policy</v>
      </c>
      <c r="BC590" s="44" t="str">
        <f t="shared" si="80"/>
        <v>Flags</v>
      </c>
    </row>
    <row r="591" spans="2:55" customFormat="1" ht="14.5">
      <c r="E591" t="s">
        <v>303</v>
      </c>
      <c r="G591" t="s">
        <v>109</v>
      </c>
      <c r="J591" s="43" t="s">
        <v>10</v>
      </c>
      <c r="K591" s="41">
        <v>1</v>
      </c>
      <c r="L591" s="41">
        <v>1</v>
      </c>
      <c r="M591" s="41">
        <v>1</v>
      </c>
      <c r="N591" s="41">
        <v>1</v>
      </c>
      <c r="O591" s="41">
        <v>1</v>
      </c>
      <c r="P591" s="41">
        <v>1</v>
      </c>
      <c r="Q591" s="41">
        <v>1</v>
      </c>
      <c r="R591" s="41">
        <v>1</v>
      </c>
      <c r="S591" s="41">
        <v>1</v>
      </c>
      <c r="T591" s="41">
        <v>1</v>
      </c>
      <c r="U591" s="41">
        <v>1</v>
      </c>
      <c r="V591" s="41">
        <v>1</v>
      </c>
      <c r="W591" s="41">
        <v>1</v>
      </c>
      <c r="X591" s="41">
        <v>1</v>
      </c>
      <c r="Y591" s="41">
        <v>1</v>
      </c>
      <c r="Z591" s="41">
        <v>1</v>
      </c>
      <c r="AA591" s="41">
        <v>1</v>
      </c>
      <c r="AB591" s="41">
        <v>1</v>
      </c>
      <c r="AC591" s="41">
        <v>1</v>
      </c>
      <c r="AD591" s="41">
        <v>1</v>
      </c>
      <c r="AE591" s="41">
        <v>1</v>
      </c>
      <c r="AF591" s="41">
        <v>1</v>
      </c>
      <c r="AG591" s="41">
        <v>1</v>
      </c>
      <c r="AT591" s="77"/>
      <c r="BA591" s="44" t="str">
        <f t="shared" ca="1" si="73"/>
        <v>NGT_TO</v>
      </c>
      <c r="BB591" s="44" t="str">
        <f>NGT_TO!$A$535</f>
        <v>Fixed policy</v>
      </c>
      <c r="BC591" s="44" t="str">
        <f t="shared" si="80"/>
        <v>Flags</v>
      </c>
    </row>
    <row r="592" spans="2:55" customFormat="1" ht="14.5">
      <c r="E592" t="s">
        <v>554</v>
      </c>
      <c r="G592" t="s">
        <v>109</v>
      </c>
      <c r="J592" s="43"/>
      <c r="AT592" s="83">
        <v>1</v>
      </c>
      <c r="BA592" s="44" t="str">
        <f t="shared" ca="1" si="73"/>
        <v>NGT_TO</v>
      </c>
      <c r="BB592" s="44" t="str">
        <f>NGT_TO!$A$535</f>
        <v>Fixed policy</v>
      </c>
      <c r="BC592" s="44" t="str">
        <f t="shared" si="80"/>
        <v>Flags</v>
      </c>
    </row>
    <row r="593" spans="1:56" customFormat="1" ht="14.5">
      <c r="J593" s="43"/>
      <c r="AT593" s="77"/>
    </row>
    <row r="594" spans="1:56" customFormat="1" ht="14.5">
      <c r="E594" t="s">
        <v>557</v>
      </c>
      <c r="G594" t="s">
        <v>109</v>
      </c>
      <c r="AH594" s="41">
        <v>1</v>
      </c>
      <c r="AT594" s="77"/>
      <c r="BA594" s="44" t="str">
        <f t="shared" ca="1" si="73"/>
        <v>NGT_TO</v>
      </c>
      <c r="BB594" s="44" t="str">
        <f>NGT_TO!$A$535</f>
        <v>Fixed policy</v>
      </c>
      <c r="BC594" s="44" t="str">
        <f>$B$585</f>
        <v>Flags</v>
      </c>
      <c r="BD594" s="44"/>
    </row>
    <row r="595" spans="1:56"/>
    <row r="596" spans="1:56" customFormat="1" ht="14.5">
      <c r="E596" t="s">
        <v>736</v>
      </c>
      <c r="G596" t="s">
        <v>106</v>
      </c>
      <c r="J596" s="43"/>
      <c r="AT596" s="77"/>
      <c r="AU596" s="170">
        <v>1</v>
      </c>
      <c r="AV596" s="41">
        <v>1</v>
      </c>
      <c r="AW596" s="41">
        <v>1</v>
      </c>
      <c r="AX596" s="41">
        <v>1</v>
      </c>
      <c r="BA596" s="44" t="str">
        <f t="shared" ca="1" si="73"/>
        <v>NGT_TO</v>
      </c>
      <c r="BB596" s="44" t="str">
        <f>NGT_TO!$A$535</f>
        <v>Fixed policy</v>
      </c>
      <c r="BC596" s="44" t="str">
        <f>$B$585</f>
        <v>Flags</v>
      </c>
    </row>
    <row r="597" spans="1:56" customFormat="1" ht="14.5">
      <c r="E597" t="s">
        <v>737</v>
      </c>
      <c r="G597" t="s">
        <v>106</v>
      </c>
      <c r="AT597" s="77"/>
      <c r="AY597" s="41">
        <v>1</v>
      </c>
      <c r="BA597" s="44" t="str">
        <f t="shared" ca="1" si="73"/>
        <v>NGT_TO</v>
      </c>
      <c r="BB597" s="44" t="str">
        <f>NGT_TO!$A$535</f>
        <v>Fixed policy</v>
      </c>
      <c r="BC597" s="44" t="str">
        <f>$B$585</f>
        <v>Flags</v>
      </c>
    </row>
    <row r="598" spans="1:56" customFormat="1" ht="14.5">
      <c r="AT598" s="77"/>
      <c r="BA598" s="44"/>
    </row>
    <row r="599" spans="1:56" customFormat="1" ht="14.5">
      <c r="E599" t="s">
        <v>108</v>
      </c>
      <c r="G599" t="s">
        <v>109</v>
      </c>
      <c r="I599" s="42" t="s">
        <v>110</v>
      </c>
      <c r="AT599" s="77"/>
      <c r="BA599" s="44" t="str">
        <f t="shared" ca="1" si="73"/>
        <v>NGT_TO</v>
      </c>
      <c r="BB599" s="44" t="str">
        <f>NGT_TO!$A$535</f>
        <v>Fixed policy</v>
      </c>
      <c r="BC599" s="44" t="str">
        <f>$B$585</f>
        <v>Flags</v>
      </c>
    </row>
    <row r="600" spans="1:56" customFormat="1" ht="14.5">
      <c r="AT600" s="77"/>
      <c r="BA600" s="44"/>
      <c r="BB600" s="44"/>
      <c r="BC600" s="44"/>
    </row>
    <row r="601" spans="1:56" ht="20" thickBot="1">
      <c r="A601" s="20" t="s">
        <v>111</v>
      </c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F601" s="13"/>
      <c r="AG601" s="13"/>
      <c r="AH601" s="13"/>
      <c r="AI601" s="13"/>
      <c r="AJ601" s="13"/>
      <c r="AK601" s="13"/>
      <c r="AL601" s="13"/>
      <c r="AM601" s="13"/>
      <c r="AN601" s="13"/>
      <c r="AO601" s="13"/>
      <c r="AP601" s="13"/>
      <c r="AQ601" s="13"/>
      <c r="AR601" s="13"/>
      <c r="AS601" s="13"/>
      <c r="AU601" s="13"/>
      <c r="AV601" s="13"/>
      <c r="AW601" s="13"/>
      <c r="AX601" s="13"/>
      <c r="AY601" s="13"/>
      <c r="AZ601" s="13"/>
      <c r="BA601" s="18"/>
      <c r="BB601" s="13"/>
      <c r="BC601" s="13"/>
    </row>
    <row r="602" spans="1:56"/>
    <row r="603" spans="1:56"/>
  </sheetData>
  <dataConsolidate/>
  <phoneticPr fontId="8" type="noConversion"/>
  <conditionalFormatting sqref="H1">
    <cfRule type="cellIs" dxfId="1" priority="1" operator="equal">
      <formula>"ERROR"</formula>
    </cfRule>
  </conditionalFormatting>
  <pageMargins left="0.23622047244094491" right="0.23622047244094491" top="0.74803149606299213" bottom="0.74803149606299213" header="0.31496062992125984" footer="0.31496062992125984"/>
  <pageSetup paperSize="8" fitToHeight="0" orientation="portrait" r:id="rId1"/>
  <headerFooter>
    <oddFooter>&amp;LDraft at &amp;D_x000D_&amp;1#&amp;"Aptos"&amp;10&amp;K000000 National Gas | Business Use&amp;R"&amp;A" sheet&amp;R"&amp;A" sheet&amp;R"&amp;A" sheet&amp;R"&amp;A" sheet&amp;R"&amp;A" sheet&amp;R"&amp;A" sheet&amp;R"&amp;A" sheet&amp;R"&amp;A" sheet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7B4E6B-C059-4427-A723-A35F8C34BA4E}">
  <sheetPr codeName="Sheet13">
    <tabColor rgb="FFFFFFCC"/>
    <pageSetUpPr autoPageBreaks="0" fitToPage="1"/>
  </sheetPr>
  <dimension ref="A1:BM193"/>
  <sheetViews>
    <sheetView zoomScale="60" zoomScaleNormal="60" workbookViewId="0">
      <pane xSplit="10" ySplit="4" topLeftCell="AS5" activePane="bottomRight" state="frozen"/>
      <selection pane="topRight" activeCell="K1" sqref="K1"/>
      <selection pane="bottomLeft" activeCell="A5" sqref="A5"/>
      <selection pane="bottomRight" activeCell="AX6" sqref="AX6"/>
    </sheetView>
  </sheetViews>
  <sheetFormatPr defaultColWidth="0" defaultRowHeight="16" zeroHeight="1" outlineLevelCol="1"/>
  <cols>
    <col min="1" max="2" width="1.81640625" style="8" customWidth="1"/>
    <col min="3" max="3" width="1.81640625" customWidth="1"/>
    <col min="4" max="4" width="15.7265625" customWidth="1"/>
    <col min="5" max="5" width="77.26953125" style="43" customWidth="1"/>
    <col min="6" max="6" width="8.7265625" style="43" customWidth="1"/>
    <col min="7" max="7" width="17.7265625" style="43" customWidth="1"/>
    <col min="8" max="8" width="9.7265625" style="43" customWidth="1"/>
    <col min="9" max="9" width="11.7265625" style="43" customWidth="1"/>
    <col min="10" max="10" width="2.08984375" style="43" customWidth="1"/>
    <col min="11" max="45" width="11.7265625" style="43" customWidth="1" outlineLevel="1"/>
    <col min="46" max="46" width="11.7265625" style="76" customWidth="1"/>
    <col min="47" max="52" width="11.7265625" style="43" customWidth="1"/>
    <col min="53" max="56" width="10.7265625" style="44" customWidth="1"/>
    <col min="57" max="57" width="10.7265625" style="43" customWidth="1"/>
    <col min="58" max="58" width="1.7265625" style="8" customWidth="1"/>
    <col min="59" max="59" width="12.08984375" style="8" hidden="1" customWidth="1"/>
    <col min="60" max="60" width="16" style="8" hidden="1" customWidth="1"/>
    <col min="61" max="63" width="12.08984375" style="8" hidden="1" customWidth="1"/>
    <col min="64" max="65" width="1.81640625" style="8" hidden="1" customWidth="1"/>
    <col min="66" max="16384" width="10.26953125" style="8" hidden="1"/>
  </cols>
  <sheetData>
    <row r="1" spans="1:56" s="119" customFormat="1" ht="14.5">
      <c r="A1" s="118" t="str" cm="1">
        <f t="array" aca="1" ref="A1" ca="1">MID(CELL("filename",$A$1),FIND("]",CELL("filename",$A$1))+1,255)</f>
        <v>NGT_SO</v>
      </c>
      <c r="G1" s="119" t="s">
        <v>515</v>
      </c>
      <c r="H1" s="38" t="str">
        <f ca="1">Checks!I7</f>
        <v>ERROR</v>
      </c>
      <c r="AT1" s="120"/>
      <c r="BA1" s="121"/>
    </row>
    <row r="2" spans="1:56" s="119" customFormat="1" ht="14.5">
      <c r="AT2" s="120"/>
      <c r="BA2" s="121"/>
    </row>
    <row r="3" spans="1:56" s="119" customFormat="1" ht="14.5">
      <c r="E3" s="119" t="s">
        <v>0</v>
      </c>
      <c r="F3" s="119" t="s">
        <v>1</v>
      </c>
      <c r="G3" s="119" t="s">
        <v>2</v>
      </c>
      <c r="H3" s="119" t="s">
        <v>3</v>
      </c>
      <c r="AT3" s="120"/>
      <c r="AU3" s="119" t="s">
        <v>5</v>
      </c>
      <c r="BA3" s="121"/>
    </row>
    <row r="4" spans="1:56" s="119" customFormat="1" ht="14.5">
      <c r="E4" s="119" t="s">
        <v>6</v>
      </c>
      <c r="K4" s="122">
        <v>33328</v>
      </c>
      <c r="L4" s="122">
        <v>33694</v>
      </c>
      <c r="M4" s="122">
        <v>34059</v>
      </c>
      <c r="N4" s="122">
        <v>34424</v>
      </c>
      <c r="O4" s="122">
        <v>34789</v>
      </c>
      <c r="P4" s="122">
        <v>35155</v>
      </c>
      <c r="Q4" s="122">
        <v>35520</v>
      </c>
      <c r="R4" s="122">
        <v>35885</v>
      </c>
      <c r="S4" s="122">
        <v>36250</v>
      </c>
      <c r="T4" s="122">
        <v>36616</v>
      </c>
      <c r="U4" s="122">
        <v>36981</v>
      </c>
      <c r="V4" s="122">
        <v>37346</v>
      </c>
      <c r="W4" s="122">
        <v>37711</v>
      </c>
      <c r="X4" s="122">
        <v>38077</v>
      </c>
      <c r="Y4" s="122">
        <v>38442</v>
      </c>
      <c r="Z4" s="122">
        <v>38807</v>
      </c>
      <c r="AA4" s="122">
        <v>39172</v>
      </c>
      <c r="AB4" s="122">
        <v>39538</v>
      </c>
      <c r="AC4" s="122">
        <v>39903</v>
      </c>
      <c r="AD4" s="122">
        <v>40268</v>
      </c>
      <c r="AE4" s="122">
        <v>40633</v>
      </c>
      <c r="AF4" s="122">
        <v>40999</v>
      </c>
      <c r="AG4" s="122">
        <v>41364</v>
      </c>
      <c r="AH4" s="122">
        <v>41729</v>
      </c>
      <c r="AI4" s="122">
        <v>42094</v>
      </c>
      <c r="AJ4" s="122">
        <v>42460</v>
      </c>
      <c r="AK4" s="122">
        <v>42825</v>
      </c>
      <c r="AL4" s="122">
        <v>43190</v>
      </c>
      <c r="AM4" s="122">
        <v>43555</v>
      </c>
      <c r="AN4" s="122">
        <v>43921</v>
      </c>
      <c r="AO4" s="122">
        <v>44286</v>
      </c>
      <c r="AP4" s="122">
        <v>44651</v>
      </c>
      <c r="AQ4" s="122">
        <v>45016</v>
      </c>
      <c r="AR4" s="122">
        <v>45382</v>
      </c>
      <c r="AS4" s="122">
        <v>45747</v>
      </c>
      <c r="AT4" s="123">
        <v>46112</v>
      </c>
      <c r="AU4" s="122">
        <v>46477</v>
      </c>
      <c r="AV4" s="122">
        <v>46843</v>
      </c>
      <c r="AW4" s="122">
        <v>47208</v>
      </c>
      <c r="AX4" s="122">
        <v>47573</v>
      </c>
      <c r="AY4" s="122">
        <v>47938</v>
      </c>
      <c r="BA4" s="121" t="s">
        <v>527</v>
      </c>
      <c r="BB4" s="121" t="s">
        <v>528</v>
      </c>
      <c r="BC4" s="121" t="s">
        <v>529</v>
      </c>
      <c r="BD4" s="121" t="s">
        <v>530</v>
      </c>
    </row>
    <row r="5" spans="1:56"/>
    <row r="6" spans="1:56" ht="20" thickBot="1">
      <c r="A6" s="22" t="s">
        <v>7</v>
      </c>
    </row>
    <row r="7" spans="1:56" ht="18" thickTop="1" thickBot="1">
      <c r="B7" s="11" t="s">
        <v>8</v>
      </c>
    </row>
    <row r="8" spans="1:56" ht="17" thickTop="1">
      <c r="E8" s="43" t="s">
        <v>248</v>
      </c>
      <c r="G8" s="43" t="str">
        <f>price_label</f>
        <v>£m 23/24 prices</v>
      </c>
      <c r="H8" s="48" t="s">
        <v>1114</v>
      </c>
      <c r="AU8" s="161">
        <v>0</v>
      </c>
      <c r="AV8" s="28">
        <v>0</v>
      </c>
      <c r="AW8" s="28">
        <v>0</v>
      </c>
      <c r="AX8" s="28">
        <v>0</v>
      </c>
      <c r="AY8" s="28">
        <v>0</v>
      </c>
      <c r="BA8" s="44" t="str">
        <f ca="1">$A$1</f>
        <v>NGT_SO</v>
      </c>
      <c r="BB8" s="44" t="str">
        <f>$A$6</f>
        <v>Variable inputs</v>
      </c>
      <c r="BC8" s="44" t="str">
        <f>$B$7</f>
        <v>Actual totex</v>
      </c>
    </row>
    <row r="9" spans="1:56" ht="16.5">
      <c r="E9" s="43" t="s">
        <v>283</v>
      </c>
      <c r="G9" s="43" t="str">
        <f>price_label</f>
        <v>£m 23/24 prices</v>
      </c>
      <c r="H9" s="48" t="s">
        <v>1115</v>
      </c>
      <c r="AU9" s="161">
        <v>0</v>
      </c>
      <c r="AV9" s="28">
        <v>0</v>
      </c>
      <c r="AW9" s="28">
        <v>0</v>
      </c>
      <c r="AX9" s="28">
        <v>0</v>
      </c>
      <c r="AY9" s="28">
        <v>0</v>
      </c>
      <c r="BA9" s="44" t="str">
        <f t="shared" ref="BA9:BA164" ca="1" si="0">$A$1</f>
        <v>NGT_SO</v>
      </c>
      <c r="BB9" s="44" t="str">
        <f t="shared" ref="BB9" si="1">$A$6</f>
        <v>Variable inputs</v>
      </c>
      <c r="BC9" s="44" t="str">
        <f t="shared" ref="BC9" si="2">$B$7</f>
        <v>Actual totex</v>
      </c>
    </row>
    <row r="10" spans="1:56">
      <c r="H10" s="48"/>
    </row>
    <row r="11" spans="1:56" ht="17.5" thickBot="1">
      <c r="B11" s="11" t="s">
        <v>12</v>
      </c>
      <c r="H11" s="4"/>
    </row>
    <row r="12" spans="1:56" ht="17" thickTop="1">
      <c r="A12" s="6"/>
      <c r="E12" s="43" t="s">
        <v>281</v>
      </c>
      <c r="F12" s="43" t="s">
        <v>280</v>
      </c>
      <c r="G12" s="43" t="str">
        <f>price_label</f>
        <v>£m 23/24 prices</v>
      </c>
      <c r="H12" s="48" t="s">
        <v>1116</v>
      </c>
      <c r="AU12" s="161">
        <v>-3.3626211613905972</v>
      </c>
      <c r="AV12" s="28">
        <v>0</v>
      </c>
      <c r="AW12" s="28">
        <v>0</v>
      </c>
      <c r="AX12" s="28">
        <v>0</v>
      </c>
      <c r="AY12" s="28">
        <v>0</v>
      </c>
      <c r="BA12" s="44" t="str">
        <f t="shared" ca="1" si="0"/>
        <v>NGT_SO</v>
      </c>
      <c r="BB12" s="44" t="str">
        <f t="shared" ref="BB12:BB14" si="3">$A$6</f>
        <v>Variable inputs</v>
      </c>
      <c r="BC12" s="44" t="str">
        <f>$B$11</f>
        <v>Pass-through costs</v>
      </c>
    </row>
    <row r="13" spans="1:56" ht="16.5">
      <c r="A13" s="6"/>
      <c r="E13" s="43" t="s">
        <v>795</v>
      </c>
      <c r="F13" s="43" t="s">
        <v>280</v>
      </c>
      <c r="G13" s="43" t="str">
        <f>nominal</f>
        <v>£m nominal</v>
      </c>
      <c r="H13" s="48" t="s">
        <v>1117</v>
      </c>
      <c r="AU13" s="161">
        <v>4.3561392009794755</v>
      </c>
      <c r="AV13" s="28">
        <v>4.91932685195495</v>
      </c>
      <c r="AW13" s="28">
        <v>4.8959176414151555</v>
      </c>
      <c r="AX13" s="28">
        <v>2.7939547857554534</v>
      </c>
      <c r="AY13" s="28">
        <v>2.8880395310242428</v>
      </c>
      <c r="BA13" s="44" t="str">
        <f t="shared" ca="1" si="0"/>
        <v>NGT_SO</v>
      </c>
      <c r="BB13" s="44" t="str">
        <f t="shared" si="3"/>
        <v>Variable inputs</v>
      </c>
      <c r="BC13" s="44" t="str">
        <f>$B$11</f>
        <v>Pass-through costs</v>
      </c>
    </row>
    <row r="14" spans="1:56" ht="16.5">
      <c r="A14" s="6"/>
      <c r="E14" s="43" t="s">
        <v>796</v>
      </c>
      <c r="F14" s="43" t="s">
        <v>773</v>
      </c>
      <c r="G14" s="43" t="str">
        <f>nominal</f>
        <v>£m nominal</v>
      </c>
      <c r="H14" s="48" t="s">
        <v>1118</v>
      </c>
      <c r="AU14" s="161">
        <v>48.519420689999997</v>
      </c>
      <c r="AV14" s="28">
        <v>36.599818190000001</v>
      </c>
      <c r="AW14" s="28">
        <v>38.063810920000002</v>
      </c>
      <c r="AX14" s="28">
        <v>39.58636336</v>
      </c>
      <c r="AY14" s="28">
        <v>41.169817889999997</v>
      </c>
      <c r="BA14" s="44" t="str">
        <f t="shared" ca="1" si="0"/>
        <v>NGT_SO</v>
      </c>
      <c r="BB14" s="44" t="str">
        <f t="shared" si="3"/>
        <v>Variable inputs</v>
      </c>
      <c r="BC14" s="44" t="str">
        <f>$B$11</f>
        <v>Pass-through costs</v>
      </c>
    </row>
    <row r="15" spans="1:56" s="9" customFormat="1">
      <c r="A15" s="6"/>
      <c r="B15" s="8"/>
      <c r="C15"/>
      <c r="D15"/>
      <c r="E15" s="43"/>
      <c r="F15" s="43"/>
      <c r="G15" s="43"/>
      <c r="H15" s="48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76"/>
      <c r="AU15" s="43"/>
      <c r="AV15" s="43"/>
      <c r="AW15" s="43"/>
      <c r="AX15" s="43"/>
      <c r="AY15" s="43"/>
      <c r="AZ15" s="43"/>
      <c r="BA15" s="44"/>
      <c r="BB15" s="44"/>
      <c r="BC15" s="44"/>
    </row>
    <row r="16" spans="1:56" s="9" customFormat="1" ht="17.5" thickBot="1">
      <c r="A16" s="8"/>
      <c r="B16" s="11" t="s">
        <v>17</v>
      </c>
      <c r="C16"/>
      <c r="D16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  <c r="AP16" s="43"/>
      <c r="AQ16" s="43"/>
      <c r="AR16" s="43"/>
      <c r="AS16" s="43"/>
      <c r="AT16" s="76"/>
      <c r="AU16" s="43"/>
      <c r="AV16" s="43"/>
      <c r="AW16" s="43"/>
      <c r="AX16" s="43"/>
      <c r="AY16" s="43"/>
      <c r="AZ16" s="43"/>
      <c r="BA16" s="44"/>
      <c r="BB16" s="44"/>
      <c r="BC16" s="44"/>
    </row>
    <row r="17" spans="2:55" s="9" customFormat="1" ht="17" thickTop="1">
      <c r="B17" s="8"/>
      <c r="C17"/>
      <c r="D17"/>
      <c r="E17" s="43" t="s">
        <v>284</v>
      </c>
      <c r="F17" s="43" t="s">
        <v>777</v>
      </c>
      <c r="G17" s="43" t="str">
        <f>nominal</f>
        <v>£m nominal</v>
      </c>
      <c r="H17" s="48" t="s">
        <v>1059</v>
      </c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76"/>
      <c r="AU17" s="161">
        <v>0</v>
      </c>
      <c r="AV17" s="28">
        <v>0</v>
      </c>
      <c r="AW17" s="28">
        <v>0</v>
      </c>
      <c r="AX17" s="28">
        <v>0</v>
      </c>
      <c r="AY17" s="28">
        <v>0</v>
      </c>
      <c r="AZ17" s="43"/>
      <c r="BA17" s="44" t="str">
        <f t="shared" ca="1" si="0"/>
        <v>NGT_SO</v>
      </c>
      <c r="BB17" s="44" t="str">
        <f t="shared" ref="BB17:BB33" si="4">$A$6</f>
        <v>Variable inputs</v>
      </c>
      <c r="BC17" s="44" t="str">
        <f>$B$16</f>
        <v>Other revenue allowances</v>
      </c>
    </row>
    <row r="18" spans="2:55" s="9" customFormat="1" ht="16.5">
      <c r="B18" s="8"/>
      <c r="C18"/>
      <c r="D18"/>
      <c r="E18" s="43" t="s">
        <v>285</v>
      </c>
      <c r="F18" s="43" t="s">
        <v>777</v>
      </c>
      <c r="G18" s="43" t="str">
        <f t="shared" ref="G18:G19" si="5">nominal</f>
        <v>£m nominal</v>
      </c>
      <c r="H18" s="48" t="s">
        <v>1060</v>
      </c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/>
      <c r="AI18" s="43"/>
      <c r="AJ18" s="43"/>
      <c r="AK18" s="43"/>
      <c r="AL18" s="43"/>
      <c r="AM18" s="43"/>
      <c r="AN18" s="43"/>
      <c r="AO18" s="43"/>
      <c r="AP18" s="43"/>
      <c r="AQ18" s="43"/>
      <c r="AR18" s="43"/>
      <c r="AS18" s="43"/>
      <c r="AT18" s="76"/>
      <c r="AU18" s="161">
        <v>0</v>
      </c>
      <c r="AV18" s="28">
        <v>0</v>
      </c>
      <c r="AW18" s="28">
        <v>0</v>
      </c>
      <c r="AX18" s="28">
        <v>0</v>
      </c>
      <c r="AY18" s="28">
        <v>0</v>
      </c>
      <c r="AZ18" s="43"/>
      <c r="BA18" s="44" t="str">
        <f t="shared" ca="1" si="0"/>
        <v>NGT_SO</v>
      </c>
      <c r="BB18" s="44" t="str">
        <f t="shared" si="4"/>
        <v>Variable inputs</v>
      </c>
      <c r="BC18" s="44" t="str">
        <f>$B$16</f>
        <v>Other revenue allowances</v>
      </c>
    </row>
    <row r="19" spans="2:55" s="9" customFormat="1" ht="16.5">
      <c r="B19" s="8"/>
      <c r="C19"/>
      <c r="D19"/>
      <c r="E19" s="43" t="s">
        <v>372</v>
      </c>
      <c r="F19" s="43" t="s">
        <v>777</v>
      </c>
      <c r="G19" s="43" t="str">
        <f t="shared" si="5"/>
        <v>£m nominal</v>
      </c>
      <c r="H19" s="48" t="s">
        <v>1061</v>
      </c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76"/>
      <c r="AU19" s="161">
        <v>0</v>
      </c>
      <c r="AV19" s="28">
        <v>0</v>
      </c>
      <c r="AW19" s="28">
        <v>0</v>
      </c>
      <c r="AX19" s="28">
        <v>0</v>
      </c>
      <c r="AY19" s="28">
        <v>0</v>
      </c>
      <c r="AZ19" s="43"/>
      <c r="BA19" s="44" t="str">
        <f t="shared" ca="1" si="0"/>
        <v>NGT_SO</v>
      </c>
      <c r="BB19" s="44" t="str">
        <f t="shared" si="4"/>
        <v>Variable inputs</v>
      </c>
      <c r="BC19" s="44" t="str">
        <f>$B$16</f>
        <v>Other revenue allowances</v>
      </c>
    </row>
    <row r="20" spans="2:55" s="9" customFormat="1">
      <c r="B20" s="8"/>
      <c r="C20"/>
      <c r="D20"/>
      <c r="E20" s="43"/>
      <c r="F20" s="43"/>
      <c r="G20" s="43"/>
      <c r="H20" s="48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43"/>
      <c r="AN20" s="43"/>
      <c r="AO20" s="43"/>
      <c r="AP20" s="43"/>
      <c r="AQ20" s="43"/>
      <c r="AR20" s="43"/>
      <c r="AS20" s="43"/>
      <c r="AT20" s="76"/>
      <c r="AU20"/>
      <c r="AV20"/>
      <c r="AW20"/>
      <c r="AX20"/>
      <c r="AY20"/>
      <c r="AZ20" s="43"/>
      <c r="BA20" s="44"/>
      <c r="BB20" s="44"/>
      <c r="BC20" s="44"/>
    </row>
    <row r="21" spans="2:55" s="9" customFormat="1" ht="16.5">
      <c r="B21" s="8"/>
      <c r="C21"/>
      <c r="D21"/>
      <c r="E21" s="43" t="s">
        <v>1057</v>
      </c>
      <c r="F21" s="43" t="s">
        <v>778</v>
      </c>
      <c r="G21" s="43" t="str">
        <f t="shared" ref="G21:G23" si="6">nominal</f>
        <v>£m nominal</v>
      </c>
      <c r="H21" s="48" t="s">
        <v>1062</v>
      </c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  <c r="AI21" s="43"/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76"/>
      <c r="AU21" s="161">
        <v>0</v>
      </c>
      <c r="AV21" s="161">
        <v>0</v>
      </c>
      <c r="AW21" s="161">
        <v>0</v>
      </c>
      <c r="AX21" s="161">
        <v>0</v>
      </c>
      <c r="AY21" s="161">
        <v>0</v>
      </c>
      <c r="AZ21" s="43"/>
      <c r="BA21" s="44" t="str">
        <f t="shared" ca="1" si="0"/>
        <v>NGT_SO</v>
      </c>
      <c r="BB21" s="44" t="str">
        <f t="shared" si="4"/>
        <v>Variable inputs</v>
      </c>
      <c r="BC21" s="44" t="str">
        <f t="shared" ref="BC21:BC31" si="7">$B$16</f>
        <v>Other revenue allowances</v>
      </c>
    </row>
    <row r="22" spans="2:55" s="9" customFormat="1" ht="16.5">
      <c r="B22" s="8"/>
      <c r="C22"/>
      <c r="D22"/>
      <c r="E22" s="43" t="s">
        <v>1058</v>
      </c>
      <c r="F22" s="43" t="s">
        <v>778</v>
      </c>
      <c r="G22" s="43" t="str">
        <f t="shared" si="6"/>
        <v>£m nominal</v>
      </c>
      <c r="H22" s="48" t="s">
        <v>1063</v>
      </c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43"/>
      <c r="AN22" s="43"/>
      <c r="AO22" s="43"/>
      <c r="AP22" s="43"/>
      <c r="AQ22" s="43"/>
      <c r="AR22" s="43"/>
      <c r="AS22" s="43"/>
      <c r="AT22" s="76"/>
      <c r="AU22" s="161">
        <v>27.578754001238082</v>
      </c>
      <c r="AV22" s="161">
        <v>28.167851996569624</v>
      </c>
      <c r="AW22" s="161">
        <v>28.765502538539032</v>
      </c>
      <c r="AX22" s="161">
        <v>29.371568109366233</v>
      </c>
      <c r="AY22" s="161">
        <v>29.997670545280879</v>
      </c>
      <c r="AZ22" s="43"/>
      <c r="BA22" s="44" t="str">
        <f t="shared" ca="1" si="0"/>
        <v>NGT_SO</v>
      </c>
      <c r="BB22" s="44" t="str">
        <f t="shared" si="4"/>
        <v>Variable inputs</v>
      </c>
      <c r="BC22" s="44" t="str">
        <f t="shared" si="7"/>
        <v>Other revenue allowances</v>
      </c>
    </row>
    <row r="23" spans="2:55" s="9" customFormat="1" ht="16.5">
      <c r="B23" s="8"/>
      <c r="C23"/>
      <c r="D23"/>
      <c r="E23" s="43" t="s">
        <v>797</v>
      </c>
      <c r="F23" s="43" t="s">
        <v>778</v>
      </c>
      <c r="G23" s="43" t="str">
        <f t="shared" si="6"/>
        <v>£m nominal</v>
      </c>
      <c r="H23" s="48" t="s">
        <v>1064</v>
      </c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  <c r="AK23" s="43"/>
      <c r="AL23" s="43"/>
      <c r="AM23" s="43"/>
      <c r="AN23" s="43"/>
      <c r="AO23" s="43"/>
      <c r="AP23" s="43"/>
      <c r="AQ23" s="43"/>
      <c r="AR23" s="43"/>
      <c r="AS23" s="43"/>
      <c r="AT23" s="76"/>
      <c r="AU23" s="161">
        <v>148.12701902751985</v>
      </c>
      <c r="AV23" s="161">
        <v>111.43077878651597</v>
      </c>
      <c r="AW23" s="161">
        <v>96.084667012423438</v>
      </c>
      <c r="AX23" s="161">
        <v>96.358050974160221</v>
      </c>
      <c r="AY23" s="161">
        <v>96.619792684200291</v>
      </c>
      <c r="AZ23" s="43"/>
      <c r="BA23" s="44" t="str">
        <f t="shared" ca="1" si="0"/>
        <v>NGT_SO</v>
      </c>
      <c r="BB23" s="44" t="str">
        <f t="shared" si="4"/>
        <v>Variable inputs</v>
      </c>
      <c r="BC23" s="44" t="str">
        <f t="shared" si="7"/>
        <v>Other revenue allowances</v>
      </c>
    </row>
    <row r="24" spans="2:55" customFormat="1" ht="14.5">
      <c r="H24" s="4"/>
      <c r="AT24" s="77"/>
      <c r="BA24" s="44"/>
    </row>
    <row r="25" spans="2:55" s="9" customFormat="1" ht="16.5">
      <c r="B25" s="8"/>
      <c r="C25"/>
      <c r="D25"/>
      <c r="E25" s="43" t="s">
        <v>286</v>
      </c>
      <c r="F25" s="43" t="s">
        <v>778</v>
      </c>
      <c r="G25" s="43" t="str">
        <f t="shared" ref="G25:G31" si="8">nominal</f>
        <v>£m nominal</v>
      </c>
      <c r="H25" s="48" t="s">
        <v>1065</v>
      </c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76"/>
      <c r="AU25" s="161">
        <v>0</v>
      </c>
      <c r="AV25" s="28">
        <v>0</v>
      </c>
      <c r="AW25" s="28">
        <v>0</v>
      </c>
      <c r="AX25" s="28">
        <v>0</v>
      </c>
      <c r="AY25" s="28">
        <v>0</v>
      </c>
      <c r="AZ25" s="43"/>
      <c r="BA25" s="44" t="str">
        <f t="shared" ca="1" si="0"/>
        <v>NGT_SO</v>
      </c>
      <c r="BB25" s="44" t="str">
        <f t="shared" si="4"/>
        <v>Variable inputs</v>
      </c>
      <c r="BC25" s="44" t="str">
        <f t="shared" si="7"/>
        <v>Other revenue allowances</v>
      </c>
    </row>
    <row r="26" spans="2:55" s="9" customFormat="1" ht="16.5">
      <c r="B26" s="8"/>
      <c r="C26"/>
      <c r="D26"/>
      <c r="E26" s="43" t="s">
        <v>287</v>
      </c>
      <c r="F26" s="43" t="s">
        <v>778</v>
      </c>
      <c r="G26" s="43" t="str">
        <f t="shared" si="8"/>
        <v>£m nominal</v>
      </c>
      <c r="H26" s="48" t="s">
        <v>1066</v>
      </c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76"/>
      <c r="AU26" s="161">
        <v>0</v>
      </c>
      <c r="AV26" s="28">
        <v>0</v>
      </c>
      <c r="AW26" s="28">
        <v>0</v>
      </c>
      <c r="AX26" s="28">
        <v>0</v>
      </c>
      <c r="AY26" s="28">
        <v>0</v>
      </c>
      <c r="AZ26" s="43"/>
      <c r="BA26" s="44" t="str">
        <f t="shared" ca="1" si="0"/>
        <v>NGT_SO</v>
      </c>
      <c r="BB26" s="44" t="str">
        <f t="shared" si="4"/>
        <v>Variable inputs</v>
      </c>
      <c r="BC26" s="44" t="str">
        <f t="shared" si="7"/>
        <v>Other revenue allowances</v>
      </c>
    </row>
    <row r="27" spans="2:55" s="9" customFormat="1" ht="16.5">
      <c r="B27" s="8"/>
      <c r="C27"/>
      <c r="D27"/>
      <c r="E27" s="43" t="s">
        <v>289</v>
      </c>
      <c r="F27" s="43" t="s">
        <v>778</v>
      </c>
      <c r="G27" s="43" t="str">
        <f t="shared" si="8"/>
        <v>£m nominal</v>
      </c>
      <c r="H27" s="48" t="s">
        <v>1067</v>
      </c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76"/>
      <c r="AU27" s="161">
        <v>0</v>
      </c>
      <c r="AV27" s="28">
        <v>0</v>
      </c>
      <c r="AW27" s="28">
        <v>0</v>
      </c>
      <c r="AX27" s="28">
        <v>0</v>
      </c>
      <c r="AY27" s="28">
        <v>0</v>
      </c>
      <c r="AZ27" s="43"/>
      <c r="BA27" s="44" t="str">
        <f t="shared" ca="1" si="0"/>
        <v>NGT_SO</v>
      </c>
      <c r="BB27" s="44" t="str">
        <f t="shared" si="4"/>
        <v>Variable inputs</v>
      </c>
      <c r="BC27" s="44" t="str">
        <f t="shared" si="7"/>
        <v>Other revenue allowances</v>
      </c>
    </row>
    <row r="28" spans="2:55" customFormat="1" ht="14.5">
      <c r="H28" s="4"/>
      <c r="AT28" s="77"/>
    </row>
    <row r="29" spans="2:55" s="9" customFormat="1" ht="16.5">
      <c r="B29" s="8"/>
      <c r="C29"/>
      <c r="D29"/>
      <c r="E29" s="43" t="s">
        <v>288</v>
      </c>
      <c r="F29" s="43" t="s">
        <v>775</v>
      </c>
      <c r="G29" s="43" t="str">
        <f t="shared" si="8"/>
        <v>£m nominal</v>
      </c>
      <c r="H29" s="48" t="s">
        <v>1068</v>
      </c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  <c r="AS29" s="43"/>
      <c r="AT29" s="76"/>
      <c r="AU29" s="161">
        <v>0</v>
      </c>
      <c r="AV29" s="28">
        <v>0</v>
      </c>
      <c r="AW29" s="28">
        <v>0</v>
      </c>
      <c r="AX29" s="28">
        <v>0</v>
      </c>
      <c r="AY29" s="28">
        <v>0</v>
      </c>
      <c r="AZ29" s="43"/>
      <c r="BA29" s="44" t="str">
        <f t="shared" ca="1" si="0"/>
        <v>NGT_SO</v>
      </c>
      <c r="BB29" s="44" t="str">
        <f t="shared" si="4"/>
        <v>Variable inputs</v>
      </c>
      <c r="BC29" s="44" t="str">
        <f t="shared" si="7"/>
        <v>Other revenue allowances</v>
      </c>
    </row>
    <row r="30" spans="2:55" s="9" customFormat="1" ht="16.5">
      <c r="B30" s="8"/>
      <c r="C30"/>
      <c r="D30"/>
      <c r="E30" s="43" t="s">
        <v>774</v>
      </c>
      <c r="F30" s="43" t="s">
        <v>775</v>
      </c>
      <c r="G30" s="43" t="str">
        <f t="shared" si="8"/>
        <v>£m nominal</v>
      </c>
      <c r="H30" s="48" t="s">
        <v>1069</v>
      </c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  <c r="AJ30" s="43"/>
      <c r="AK30" s="43"/>
      <c r="AL30" s="43"/>
      <c r="AM30" s="43"/>
      <c r="AN30" s="43"/>
      <c r="AO30" s="43"/>
      <c r="AP30" s="43"/>
      <c r="AQ30" s="43"/>
      <c r="AR30" s="43"/>
      <c r="AS30" s="43"/>
      <c r="AT30" s="76"/>
      <c r="AU30" s="161">
        <v>0</v>
      </c>
      <c r="AV30" s="28">
        <v>0</v>
      </c>
      <c r="AW30" s="28">
        <v>0</v>
      </c>
      <c r="AX30" s="28">
        <v>0</v>
      </c>
      <c r="AY30" s="28">
        <v>0</v>
      </c>
      <c r="AZ30" s="43"/>
      <c r="BA30" s="44" t="str">
        <f t="shared" ca="1" si="0"/>
        <v>NGT_SO</v>
      </c>
      <c r="BB30" s="44" t="str">
        <f t="shared" si="4"/>
        <v>Variable inputs</v>
      </c>
      <c r="BC30" s="44" t="str">
        <f t="shared" si="7"/>
        <v>Other revenue allowances</v>
      </c>
    </row>
    <row r="31" spans="2:55" s="9" customFormat="1" ht="16.5">
      <c r="B31" s="8"/>
      <c r="C31"/>
      <c r="D31"/>
      <c r="E31" s="43" t="s">
        <v>776</v>
      </c>
      <c r="F31" s="43" t="s">
        <v>775</v>
      </c>
      <c r="G31" s="43" t="str">
        <f t="shared" si="8"/>
        <v>£m nominal</v>
      </c>
      <c r="H31" s="48" t="s">
        <v>1070</v>
      </c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43"/>
      <c r="AS31" s="43"/>
      <c r="AT31" s="76"/>
      <c r="AU31" s="161">
        <v>0</v>
      </c>
      <c r="AV31" s="28">
        <v>0</v>
      </c>
      <c r="AW31" s="28">
        <v>0</v>
      </c>
      <c r="AX31" s="28">
        <v>0</v>
      </c>
      <c r="AY31" s="28">
        <v>0</v>
      </c>
      <c r="AZ31" s="43"/>
      <c r="BA31" s="44" t="str">
        <f t="shared" ca="1" si="0"/>
        <v>NGT_SO</v>
      </c>
      <c r="BB31" s="44" t="str">
        <f t="shared" si="4"/>
        <v>Variable inputs</v>
      </c>
      <c r="BC31" s="44" t="str">
        <f t="shared" si="7"/>
        <v>Other revenue allowances</v>
      </c>
    </row>
    <row r="32" spans="2:55" s="9" customFormat="1">
      <c r="B32" s="8"/>
      <c r="C32"/>
      <c r="D32"/>
      <c r="E32" s="43"/>
      <c r="F32" s="43"/>
      <c r="G32" s="43"/>
      <c r="H32" s="48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  <c r="AN32" s="43"/>
      <c r="AO32" s="43"/>
      <c r="AP32" s="43"/>
      <c r="AQ32" s="43"/>
      <c r="AR32" s="43"/>
      <c r="AS32" s="43"/>
      <c r="AT32" s="76"/>
      <c r="AU32"/>
      <c r="AV32"/>
      <c r="AW32"/>
      <c r="AX32"/>
      <c r="AY32"/>
      <c r="AZ32" s="43"/>
      <c r="BA32" s="44"/>
      <c r="BB32" s="44"/>
      <c r="BC32" s="44"/>
    </row>
    <row r="33" spans="2:55" s="9" customFormat="1" ht="16.5">
      <c r="B33" s="8"/>
      <c r="C33"/>
      <c r="D33"/>
      <c r="E33" s="43" t="s">
        <v>779</v>
      </c>
      <c r="F33" s="43" t="s">
        <v>780</v>
      </c>
      <c r="G33" s="43" t="str">
        <f t="shared" ref="G33" si="9">price_label</f>
        <v>£m 23/24 prices</v>
      </c>
      <c r="H33" s="48" t="s">
        <v>1071</v>
      </c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43"/>
      <c r="AT33" s="76"/>
      <c r="AU33" s="161">
        <v>0</v>
      </c>
      <c r="AV33" s="28">
        <v>0</v>
      </c>
      <c r="AW33" s="28">
        <v>0</v>
      </c>
      <c r="AX33" s="28">
        <v>0</v>
      </c>
      <c r="AY33" s="28">
        <v>0</v>
      </c>
      <c r="AZ33" s="43"/>
      <c r="BA33" s="44" t="str">
        <f t="shared" ca="1" si="0"/>
        <v>NGT_SO</v>
      </c>
      <c r="BB33" s="44" t="str">
        <f t="shared" si="4"/>
        <v>Variable inputs</v>
      </c>
      <c r="BC33" s="44" t="str">
        <f>$B$16</f>
        <v>Other revenue allowances</v>
      </c>
    </row>
    <row r="34" spans="2:55" s="9" customFormat="1">
      <c r="B34" s="8"/>
      <c r="C34"/>
      <c r="D34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3"/>
      <c r="AS34" s="43"/>
      <c r="AT34" s="76"/>
      <c r="AU34"/>
      <c r="AV34"/>
      <c r="AW34"/>
      <c r="AX34"/>
      <c r="AY34"/>
      <c r="AZ34" s="43"/>
      <c r="BA34" s="44"/>
      <c r="BB34" s="44"/>
      <c r="BC34" s="44"/>
    </row>
    <row r="35" spans="2:55" s="9" customFormat="1" ht="17.5" thickBot="1">
      <c r="B35" s="11" t="s">
        <v>744</v>
      </c>
      <c r="C35"/>
      <c r="D35"/>
      <c r="E35" s="46"/>
      <c r="F35" s="46"/>
      <c r="G35" s="46"/>
      <c r="H35" s="46"/>
      <c r="I35" s="46"/>
      <c r="J35" s="46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 s="77"/>
      <c r="AU35"/>
      <c r="AV35"/>
      <c r="AW35"/>
      <c r="AX35"/>
      <c r="AY35"/>
      <c r="AZ35" s="43"/>
      <c r="BA35" s="44"/>
      <c r="BB35" s="44"/>
      <c r="BC35" s="44"/>
    </row>
    <row r="36" spans="2:55" customFormat="1" ht="17" thickTop="1">
      <c r="E36" t="s">
        <v>450</v>
      </c>
      <c r="F36" t="s">
        <v>70</v>
      </c>
      <c r="G36" t="str">
        <f>nominal</f>
        <v>£m nominal</v>
      </c>
      <c r="H36" t="s">
        <v>930</v>
      </c>
      <c r="AT36" s="77"/>
      <c r="AU36" s="162">
        <v>0</v>
      </c>
      <c r="AV36" s="37">
        <v>0</v>
      </c>
      <c r="AW36" s="37">
        <v>0</v>
      </c>
      <c r="AX36" s="37">
        <v>0</v>
      </c>
      <c r="AY36" s="37">
        <v>0</v>
      </c>
      <c r="BA36" s="44" t="str">
        <f t="shared" ca="1" si="0"/>
        <v>NGT_SO</v>
      </c>
      <c r="BB36" s="44" t="str">
        <f t="shared" ref="BB36:BB38" si="10">$A$6</f>
        <v>Variable inputs</v>
      </c>
      <c r="BC36" s="44" t="str">
        <f>$B$35</f>
        <v>Allowed revenue true-up</v>
      </c>
    </row>
    <row r="37" spans="2:55" customFormat="1" ht="17.5">
      <c r="E37" t="s">
        <v>451</v>
      </c>
      <c r="F37" t="s">
        <v>70</v>
      </c>
      <c r="G37" t="str">
        <f>price_label</f>
        <v>£m 23/24 prices</v>
      </c>
      <c r="H37" t="s">
        <v>931</v>
      </c>
      <c r="AT37" s="77"/>
      <c r="AU37" s="162">
        <v>0</v>
      </c>
      <c r="AV37" s="37">
        <v>0</v>
      </c>
      <c r="AW37" s="37">
        <v>0</v>
      </c>
      <c r="AX37" s="37">
        <v>0</v>
      </c>
      <c r="AY37" s="37">
        <v>0</v>
      </c>
      <c r="BA37" s="44" t="str">
        <f t="shared" ca="1" si="0"/>
        <v>NGT_SO</v>
      </c>
      <c r="BB37" s="44" t="str">
        <f t="shared" si="10"/>
        <v>Variable inputs</v>
      </c>
      <c r="BC37" s="44" t="str">
        <f t="shared" ref="BC37:BC38" si="11">$B$35</f>
        <v>Allowed revenue true-up</v>
      </c>
    </row>
    <row r="38" spans="2:55" customFormat="1" ht="17.5">
      <c r="E38" t="s">
        <v>547</v>
      </c>
      <c r="F38" t="s">
        <v>70</v>
      </c>
      <c r="G38" t="str">
        <f>nominal</f>
        <v>£m nominal</v>
      </c>
      <c r="H38" t="s">
        <v>932</v>
      </c>
      <c r="AT38" s="77"/>
      <c r="AU38" s="162"/>
      <c r="AV38" s="37"/>
      <c r="AW38" s="37"/>
      <c r="AX38" s="37"/>
      <c r="AY38" s="37"/>
      <c r="BA38" s="44" t="str">
        <f t="shared" ca="1" si="0"/>
        <v>NGT_SO</v>
      </c>
      <c r="BB38" s="44" t="str">
        <f t="shared" si="10"/>
        <v>Variable inputs</v>
      </c>
      <c r="BC38" s="44" t="str">
        <f t="shared" si="11"/>
        <v>Allowed revenue true-up</v>
      </c>
    </row>
    <row r="39" spans="2:55" customFormat="1" ht="14.5">
      <c r="AT39" s="77"/>
    </row>
    <row r="40" spans="2:55" s="9" customFormat="1" ht="17.5" thickBot="1">
      <c r="B40" s="11" t="s">
        <v>20</v>
      </c>
      <c r="C40"/>
      <c r="D40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  <c r="AG40" s="43"/>
      <c r="AH40" s="43"/>
      <c r="AI40" s="43"/>
      <c r="AJ40" s="43"/>
      <c r="AK40" s="43"/>
      <c r="AL40" s="43"/>
      <c r="AM40" s="43"/>
      <c r="AN40" s="43"/>
      <c r="AO40" s="43"/>
      <c r="AP40" s="43"/>
      <c r="AQ40" s="43"/>
      <c r="AR40" s="43"/>
      <c r="AS40" s="43"/>
      <c r="AT40" s="76"/>
      <c r="AU40" s="43"/>
      <c r="AV40" s="43"/>
      <c r="AW40" s="43"/>
      <c r="AX40" s="43"/>
      <c r="AY40" s="43"/>
      <c r="AZ40" s="43"/>
      <c r="BA40" s="44"/>
      <c r="BB40" s="44"/>
      <c r="BC40" s="44"/>
    </row>
    <row r="41" spans="2:55" ht="17" thickTop="1">
      <c r="E41" s="113" t="s">
        <v>1072</v>
      </c>
      <c r="F41" s="48" t="s">
        <v>882</v>
      </c>
      <c r="G41" s="43" t="str">
        <f>nominal</f>
        <v>£m nominal</v>
      </c>
      <c r="H41" s="48" t="s">
        <v>824</v>
      </c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 s="77"/>
      <c r="AU41" s="161">
        <v>-41.450689157597054</v>
      </c>
      <c r="AV41"/>
      <c r="AW41"/>
      <c r="AX41"/>
      <c r="AY41"/>
      <c r="BA41" s="44" t="str">
        <f t="shared" ca="1" si="0"/>
        <v>NGT_SO</v>
      </c>
      <c r="BB41" s="44" t="str">
        <f t="shared" ref="BB41:BB42" si="12">$A$6</f>
        <v>Variable inputs</v>
      </c>
      <c r="BC41" s="44" t="str">
        <f>$B$40</f>
        <v>Legacy adjustments</v>
      </c>
    </row>
    <row r="42" spans="2:55" ht="16.5">
      <c r="E42" s="43" t="s">
        <v>798</v>
      </c>
      <c r="F42" s="48" t="s">
        <v>883</v>
      </c>
      <c r="G42" s="43" t="str">
        <f>nominal</f>
        <v>£m nominal</v>
      </c>
      <c r="H42" s="43" t="s">
        <v>825</v>
      </c>
      <c r="AU42" s="161">
        <v>13.7696220495117</v>
      </c>
      <c r="AX42"/>
      <c r="BA42" s="44" t="str">
        <f t="shared" ca="1" si="0"/>
        <v>NGT_SO</v>
      </c>
      <c r="BB42" s="44" t="str">
        <f t="shared" si="12"/>
        <v>Variable inputs</v>
      </c>
      <c r="BC42" s="44" t="str">
        <f>$B$40</f>
        <v>Legacy adjustments</v>
      </c>
    </row>
    <row r="43" spans="2:55" s="9" customFormat="1">
      <c r="B43" s="8"/>
      <c r="C43"/>
      <c r="D43"/>
      <c r="E43" s="46"/>
      <c r="F43" s="46"/>
      <c r="G43" s="46"/>
      <c r="H43" s="46"/>
      <c r="I43" s="46"/>
      <c r="J43" s="46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 s="77"/>
      <c r="AU43"/>
      <c r="AV43"/>
      <c r="AW43"/>
      <c r="AX43"/>
      <c r="AY43"/>
      <c r="AZ43" s="43"/>
      <c r="BA43" s="44"/>
      <c r="BB43" s="44"/>
      <c r="BC43" s="44"/>
    </row>
    <row r="44" spans="2:55" s="9" customFormat="1" ht="17.5" thickBot="1">
      <c r="B44" s="11" t="s">
        <v>745</v>
      </c>
      <c r="C44"/>
      <c r="D44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  <c r="AF44" s="43"/>
      <c r="AG44" s="43"/>
      <c r="AH44" s="43"/>
      <c r="AI44" s="43"/>
      <c r="AJ44" s="43"/>
      <c r="AK44" s="43"/>
      <c r="AL44" s="43"/>
      <c r="AM44" s="43"/>
      <c r="AN44" s="43"/>
      <c r="AO44" s="43"/>
      <c r="AP44" s="43"/>
      <c r="AQ44" s="43"/>
      <c r="AR44" s="43"/>
      <c r="AS44" s="43"/>
      <c r="AT44" s="76"/>
      <c r="AU44" s="43"/>
      <c r="AV44" s="43"/>
      <c r="AW44" s="43"/>
      <c r="AX44" s="43"/>
      <c r="AY44" s="43"/>
      <c r="AZ44" s="43"/>
      <c r="BA44" s="44"/>
      <c r="BB44" s="44"/>
      <c r="BC44" s="44"/>
    </row>
    <row r="45" spans="2:55" s="9" customFormat="1" ht="17" thickTop="1">
      <c r="B45" s="8"/>
      <c r="C45"/>
      <c r="D45"/>
      <c r="E45" s="43" t="s">
        <v>24</v>
      </c>
      <c r="F45" s="48"/>
      <c r="G45" s="48" t="str">
        <f t="shared" ref="G45:G47" si="13">nominal</f>
        <v>£m nominal</v>
      </c>
      <c r="H45" s="48" t="s">
        <v>1028</v>
      </c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  <c r="AF45" s="43"/>
      <c r="AG45" s="43"/>
      <c r="AH45" s="43"/>
      <c r="AI45" s="43"/>
      <c r="AJ45" s="43"/>
      <c r="AK45" s="43"/>
      <c r="AL45" s="43"/>
      <c r="AM45" s="43"/>
      <c r="AN45" s="43"/>
      <c r="AO45" s="43"/>
      <c r="AP45" s="43"/>
      <c r="AQ45" s="43"/>
      <c r="AR45" s="43"/>
      <c r="AS45" s="43"/>
      <c r="AT45" s="76"/>
      <c r="AU45" s="161">
        <v>0</v>
      </c>
      <c r="AV45" s="28">
        <v>0</v>
      </c>
      <c r="AW45" s="28">
        <v>0</v>
      </c>
      <c r="AX45" s="28">
        <v>0</v>
      </c>
      <c r="AY45" s="28">
        <v>0</v>
      </c>
      <c r="AZ45" s="43"/>
      <c r="BA45" s="44" t="str">
        <f t="shared" ca="1" si="0"/>
        <v>NGT_SO</v>
      </c>
      <c r="BB45" s="44" t="str">
        <f t="shared" ref="BB45:BB57" si="14">$A$6</f>
        <v>Variable inputs</v>
      </c>
      <c r="BC45" s="44" t="str">
        <f>$B$44</f>
        <v>Finance and tax</v>
      </c>
    </row>
    <row r="46" spans="2:55" s="9" customFormat="1" ht="16.5">
      <c r="B46" s="8"/>
      <c r="C46"/>
      <c r="D46"/>
      <c r="E46" s="43" t="s">
        <v>25</v>
      </c>
      <c r="F46" s="48"/>
      <c r="G46" s="48" t="str">
        <f t="shared" si="13"/>
        <v>£m nominal</v>
      </c>
      <c r="H46" s="48" t="s">
        <v>1029</v>
      </c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3"/>
      <c r="AS46" s="43"/>
      <c r="AT46" s="76"/>
      <c r="AU46" s="161">
        <v>0</v>
      </c>
      <c r="AV46" s="28">
        <v>0</v>
      </c>
      <c r="AW46" s="28">
        <v>0</v>
      </c>
      <c r="AX46" s="28">
        <v>0</v>
      </c>
      <c r="AY46" s="28">
        <v>0</v>
      </c>
      <c r="AZ46" s="43"/>
      <c r="BA46" s="44" t="str">
        <f t="shared" ca="1" si="0"/>
        <v>NGT_SO</v>
      </c>
      <c r="BB46" s="44" t="str">
        <f t="shared" si="14"/>
        <v>Variable inputs</v>
      </c>
      <c r="BC46" s="44" t="str">
        <f t="shared" ref="BC46:BC57" si="15">$B$44</f>
        <v>Finance and tax</v>
      </c>
    </row>
    <row r="47" spans="2:55" s="9" customFormat="1" ht="16.5">
      <c r="B47" s="8"/>
      <c r="C47"/>
      <c r="D47"/>
      <c r="E47" s="43" t="s">
        <v>26</v>
      </c>
      <c r="F47" s="48" t="s">
        <v>885</v>
      </c>
      <c r="G47" s="48" t="str">
        <f t="shared" si="13"/>
        <v>£m nominal</v>
      </c>
      <c r="H47" s="48" t="s">
        <v>1073</v>
      </c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43"/>
      <c r="AJ47" s="43"/>
      <c r="AK47" s="43"/>
      <c r="AL47" s="43"/>
      <c r="AM47" s="43"/>
      <c r="AN47" s="43"/>
      <c r="AO47" s="43"/>
      <c r="AP47" s="43"/>
      <c r="AQ47" s="43"/>
      <c r="AR47" s="43"/>
      <c r="AS47" s="43"/>
      <c r="AT47" s="76"/>
      <c r="AU47" s="161">
        <v>0</v>
      </c>
      <c r="AV47" s="28">
        <v>0</v>
      </c>
      <c r="AW47" s="28">
        <v>0</v>
      </c>
      <c r="AX47" s="28">
        <v>0</v>
      </c>
      <c r="AY47" s="28">
        <v>0</v>
      </c>
      <c r="AZ47" s="43"/>
      <c r="BA47" s="44" t="str">
        <f t="shared" ca="1" si="0"/>
        <v>NGT_SO</v>
      </c>
      <c r="BB47" s="44" t="str">
        <f t="shared" si="14"/>
        <v>Variable inputs</v>
      </c>
      <c r="BC47" s="44" t="str">
        <f t="shared" si="15"/>
        <v>Finance and tax</v>
      </c>
    </row>
    <row r="48" spans="2:55" s="9" customFormat="1" ht="16.5">
      <c r="B48" s="8"/>
      <c r="C48"/>
      <c r="D48"/>
      <c r="E48" s="43" t="s">
        <v>28</v>
      </c>
      <c r="F48" s="48"/>
      <c r="G48" s="48" t="str">
        <f>price_label</f>
        <v>£m 23/24 prices</v>
      </c>
      <c r="H48" s="48" t="s">
        <v>1074</v>
      </c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3"/>
      <c r="AS48" s="43"/>
      <c r="AT48" s="76"/>
      <c r="AU48" s="161">
        <v>0</v>
      </c>
      <c r="AV48" s="28">
        <v>0</v>
      </c>
      <c r="AW48" s="28">
        <v>0</v>
      </c>
      <c r="AX48" s="28">
        <v>0</v>
      </c>
      <c r="AY48" s="28">
        <v>0</v>
      </c>
      <c r="AZ48" s="43"/>
      <c r="BA48" s="44" t="str">
        <f t="shared" ca="1" si="0"/>
        <v>NGT_SO</v>
      </c>
      <c r="BB48" s="44" t="str">
        <f t="shared" si="14"/>
        <v>Variable inputs</v>
      </c>
      <c r="BC48" s="44" t="str">
        <f t="shared" si="15"/>
        <v>Finance and tax</v>
      </c>
    </row>
    <row r="49" spans="2:56" s="9" customFormat="1" ht="16.5">
      <c r="B49" s="8"/>
      <c r="C49"/>
      <c r="D49"/>
      <c r="E49" s="43" t="s">
        <v>29</v>
      </c>
      <c r="F49" s="48" t="s">
        <v>884</v>
      </c>
      <c r="G49" s="48" t="str">
        <f t="shared" ref="G49:G57" si="16">nominal</f>
        <v>£m nominal</v>
      </c>
      <c r="H49" s="48" t="s">
        <v>1075</v>
      </c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  <c r="AQ49" s="43"/>
      <c r="AR49" s="43"/>
      <c r="AS49" s="43"/>
      <c r="AT49" s="76"/>
      <c r="AU49" s="161">
        <v>171.96320895042572</v>
      </c>
      <c r="AV49" s="43"/>
      <c r="AW49" s="43"/>
      <c r="AX49" s="43"/>
      <c r="AY49" s="43"/>
      <c r="AZ49" s="43"/>
      <c r="BA49" s="44" t="str">
        <f t="shared" ca="1" si="0"/>
        <v>NGT_SO</v>
      </c>
      <c r="BB49" s="44" t="str">
        <f t="shared" si="14"/>
        <v>Variable inputs</v>
      </c>
      <c r="BC49" s="44" t="str">
        <f t="shared" si="15"/>
        <v>Finance and tax</v>
      </c>
    </row>
    <row r="50" spans="2:56" s="9" customFormat="1" ht="16.5">
      <c r="B50" s="8"/>
      <c r="C50"/>
      <c r="D50"/>
      <c r="E50" s="43" t="s">
        <v>718</v>
      </c>
      <c r="F50" s="48" t="s">
        <v>884</v>
      </c>
      <c r="G50" s="48" t="str">
        <f t="shared" si="16"/>
        <v>£m nominal</v>
      </c>
      <c r="H50" s="48" t="s">
        <v>1076</v>
      </c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/>
      <c r="AM50" s="43"/>
      <c r="AN50" s="43"/>
      <c r="AO50" s="43"/>
      <c r="AP50" s="43"/>
      <c r="AQ50" s="43"/>
      <c r="AR50" s="43"/>
      <c r="AS50" s="43"/>
      <c r="AT50" s="76"/>
      <c r="AU50" s="161">
        <v>0</v>
      </c>
      <c r="AV50" s="43"/>
      <c r="AW50" s="43"/>
      <c r="AX50" s="43"/>
      <c r="AY50" s="43"/>
      <c r="AZ50" s="43"/>
      <c r="BA50" s="44" t="str">
        <f t="shared" ca="1" si="0"/>
        <v>NGT_SO</v>
      </c>
      <c r="BB50" s="44" t="str">
        <f t="shared" si="14"/>
        <v>Variable inputs</v>
      </c>
      <c r="BC50" s="44" t="str">
        <f t="shared" si="15"/>
        <v>Finance and tax</v>
      </c>
    </row>
    <row r="51" spans="2:56" s="9" customFormat="1" ht="16.5">
      <c r="B51" s="8"/>
      <c r="C51"/>
      <c r="D51"/>
      <c r="E51" s="43" t="s">
        <v>719</v>
      </c>
      <c r="F51" s="48" t="s">
        <v>884</v>
      </c>
      <c r="G51" s="48" t="str">
        <f t="shared" si="16"/>
        <v>£m nominal</v>
      </c>
      <c r="H51" s="48" t="s">
        <v>1077</v>
      </c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3"/>
      <c r="AS51" s="43"/>
      <c r="AT51" s="76"/>
      <c r="AU51" s="161">
        <v>0</v>
      </c>
      <c r="AV51" s="43"/>
      <c r="AW51" s="43"/>
      <c r="AX51" s="43"/>
      <c r="AY51" s="43"/>
      <c r="AZ51" s="43"/>
      <c r="BA51" s="44" t="str">
        <f t="shared" ca="1" si="0"/>
        <v>NGT_SO</v>
      </c>
      <c r="BB51" s="44" t="str">
        <f t="shared" si="14"/>
        <v>Variable inputs</v>
      </c>
      <c r="BC51" s="44" t="str">
        <f t="shared" si="15"/>
        <v>Finance and tax</v>
      </c>
    </row>
    <row r="52" spans="2:56" s="9" customFormat="1" ht="16.5">
      <c r="B52" s="8"/>
      <c r="C52"/>
      <c r="D52"/>
      <c r="E52" s="43" t="s">
        <v>720</v>
      </c>
      <c r="F52" s="48" t="s">
        <v>884</v>
      </c>
      <c r="G52" s="48" t="str">
        <f t="shared" si="16"/>
        <v>£m nominal</v>
      </c>
      <c r="H52" s="48" t="s">
        <v>1078</v>
      </c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F52" s="43"/>
      <c r="AG52" s="43"/>
      <c r="AH52" s="43"/>
      <c r="AI52" s="43"/>
      <c r="AJ52" s="43"/>
      <c r="AK52" s="43"/>
      <c r="AL52" s="43"/>
      <c r="AM52" s="43"/>
      <c r="AN52" s="43"/>
      <c r="AO52" s="43"/>
      <c r="AP52" s="43"/>
      <c r="AQ52" s="43"/>
      <c r="AR52" s="43"/>
      <c r="AS52" s="43"/>
      <c r="AT52" s="76"/>
      <c r="AU52" s="161">
        <v>0</v>
      </c>
      <c r="AV52" s="43"/>
      <c r="AW52" s="43"/>
      <c r="AX52" s="43"/>
      <c r="AY52" s="43"/>
      <c r="AZ52" s="43"/>
      <c r="BA52" s="44" t="str">
        <f t="shared" ca="1" si="0"/>
        <v>NGT_SO</v>
      </c>
      <c r="BB52" s="44" t="str">
        <f t="shared" si="14"/>
        <v>Variable inputs</v>
      </c>
      <c r="BC52" s="44" t="str">
        <f t="shared" si="15"/>
        <v>Finance and tax</v>
      </c>
    </row>
    <row r="53" spans="2:56" s="9" customFormat="1" ht="16.5">
      <c r="B53" s="8"/>
      <c r="C53"/>
      <c r="D53"/>
      <c r="E53" s="43" t="s">
        <v>340</v>
      </c>
      <c r="F53" s="48"/>
      <c r="G53" s="48" t="str">
        <f t="shared" si="16"/>
        <v>£m nominal</v>
      </c>
      <c r="H53" s="48" t="s">
        <v>1079</v>
      </c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3"/>
      <c r="AS53" s="43"/>
      <c r="AT53" s="76"/>
      <c r="AU53" s="161">
        <v>0</v>
      </c>
      <c r="AV53"/>
      <c r="AW53"/>
      <c r="AX53"/>
      <c r="AY53"/>
      <c r="AZ53" s="43"/>
      <c r="BA53" s="44" t="str">
        <f t="shared" ca="1" si="0"/>
        <v>NGT_SO</v>
      </c>
      <c r="BB53" s="44" t="str">
        <f t="shared" si="14"/>
        <v>Variable inputs</v>
      </c>
      <c r="BC53" s="44" t="str">
        <f t="shared" si="15"/>
        <v>Finance and tax</v>
      </c>
    </row>
    <row r="54" spans="2:56" s="9" customFormat="1" ht="16.5">
      <c r="B54" s="8"/>
      <c r="C54"/>
      <c r="D54"/>
      <c r="E54" s="43" t="s">
        <v>717</v>
      </c>
      <c r="F54" s="48"/>
      <c r="G54" s="48" t="str">
        <f t="shared" si="16"/>
        <v>£m nominal</v>
      </c>
      <c r="H54" s="48" t="s">
        <v>1080</v>
      </c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76"/>
      <c r="AU54" s="161">
        <v>0</v>
      </c>
      <c r="AV54"/>
      <c r="AW54"/>
      <c r="AX54"/>
      <c r="AY54"/>
      <c r="AZ54" s="43"/>
      <c r="BA54" s="44" t="str">
        <f t="shared" ca="1" si="0"/>
        <v>NGT_SO</v>
      </c>
      <c r="BB54" s="44" t="str">
        <f t="shared" si="14"/>
        <v>Variable inputs</v>
      </c>
      <c r="BC54" s="44" t="str">
        <f t="shared" si="15"/>
        <v>Finance and tax</v>
      </c>
    </row>
    <row r="55" spans="2:56" s="9" customFormat="1" ht="16.5">
      <c r="B55" s="8"/>
      <c r="C55"/>
      <c r="D55"/>
      <c r="E55" s="43" t="s">
        <v>807</v>
      </c>
      <c r="F55" s="48" t="s">
        <v>884</v>
      </c>
      <c r="G55" s="48" t="str">
        <f t="shared" si="16"/>
        <v>£m nominal</v>
      </c>
      <c r="H55" s="48" t="s">
        <v>1081</v>
      </c>
      <c r="I55" s="43"/>
      <c r="J55" s="43" t="s">
        <v>10</v>
      </c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s="43"/>
      <c r="AO55" s="43"/>
      <c r="AP55" s="43"/>
      <c r="AQ55" s="43"/>
      <c r="AR55" s="43"/>
      <c r="AS55" s="43"/>
      <c r="AT55" s="187">
        <v>0</v>
      </c>
      <c r="AU55"/>
      <c r="AV55" s="43"/>
      <c r="AW55" s="43"/>
      <c r="AX55" s="43"/>
      <c r="AY55" s="43"/>
      <c r="AZ55" s="43"/>
      <c r="BA55" s="44" t="str">
        <f t="shared" ca="1" si="0"/>
        <v>NGT_SO</v>
      </c>
      <c r="BB55" s="44" t="str">
        <f t="shared" si="14"/>
        <v>Variable inputs</v>
      </c>
      <c r="BC55" s="44" t="str">
        <f t="shared" si="15"/>
        <v>Finance and tax</v>
      </c>
    </row>
    <row r="56" spans="2:56" s="9" customFormat="1" ht="16.5">
      <c r="B56" s="8"/>
      <c r="C56"/>
      <c r="D56"/>
      <c r="E56" s="43" t="s">
        <v>806</v>
      </c>
      <c r="F56" s="48" t="s">
        <v>884</v>
      </c>
      <c r="G56" s="48" t="str">
        <f t="shared" si="16"/>
        <v>£m nominal</v>
      </c>
      <c r="H56" s="48" t="s">
        <v>1082</v>
      </c>
      <c r="I56" s="43"/>
      <c r="J56" s="43" t="s">
        <v>10</v>
      </c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s="43"/>
      <c r="AO56" s="43"/>
      <c r="AP56" s="43"/>
      <c r="AQ56" s="43"/>
      <c r="AR56" s="43"/>
      <c r="AS56" s="43"/>
      <c r="AT56" s="78">
        <v>0</v>
      </c>
      <c r="AU56" s="43"/>
      <c r="AV56" s="43"/>
      <c r="AW56" s="43"/>
      <c r="AX56" s="43"/>
      <c r="AY56" s="43"/>
      <c r="AZ56" s="43"/>
      <c r="BA56" s="44" t="str">
        <f t="shared" ca="1" si="0"/>
        <v>NGT_SO</v>
      </c>
      <c r="BB56" s="44" t="str">
        <f t="shared" si="14"/>
        <v>Variable inputs</v>
      </c>
      <c r="BC56" s="44" t="str">
        <f t="shared" si="15"/>
        <v>Finance and tax</v>
      </c>
      <c r="BD56" s="44"/>
    </row>
    <row r="57" spans="2:56" s="9" customFormat="1" ht="16.5">
      <c r="B57" s="8"/>
      <c r="C57"/>
      <c r="D57"/>
      <c r="E57" s="43" t="s">
        <v>31</v>
      </c>
      <c r="F57" s="48" t="s">
        <v>884</v>
      </c>
      <c r="G57" s="48" t="str">
        <f t="shared" si="16"/>
        <v>£m nominal</v>
      </c>
      <c r="H57" s="48" t="s">
        <v>1083</v>
      </c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3"/>
      <c r="AH57" s="43"/>
      <c r="AI57" s="43"/>
      <c r="AJ57" s="43"/>
      <c r="AK57" s="43"/>
      <c r="AL57" s="43"/>
      <c r="AM57" s="43"/>
      <c r="AN57" s="43"/>
      <c r="AO57" s="43"/>
      <c r="AP57" s="43"/>
      <c r="AQ57" s="43"/>
      <c r="AR57" s="43"/>
      <c r="AS57" s="43"/>
      <c r="AT57" s="76"/>
      <c r="AU57" s="161">
        <v>0</v>
      </c>
      <c r="AV57" s="43"/>
      <c r="AW57" s="43"/>
      <c r="AX57" s="43"/>
      <c r="AY57" s="43"/>
      <c r="AZ57" s="43"/>
      <c r="BA57" s="44" t="str">
        <f t="shared" ca="1" si="0"/>
        <v>NGT_SO</v>
      </c>
      <c r="BB57" s="44" t="str">
        <f t="shared" si="14"/>
        <v>Variable inputs</v>
      </c>
      <c r="BC57" s="44" t="str">
        <f t="shared" si="15"/>
        <v>Finance and tax</v>
      </c>
      <c r="BD57" s="44"/>
    </row>
    <row r="58" spans="2:56"/>
    <row r="59" spans="2:56" ht="17.5" thickBot="1">
      <c r="B59" s="11" t="s">
        <v>39</v>
      </c>
    </row>
    <row r="60" spans="2:56" ht="17" thickTop="1" thickBot="1">
      <c r="C60" s="12" t="s">
        <v>40</v>
      </c>
    </row>
    <row r="61" spans="2:56" ht="16.5">
      <c r="B61"/>
      <c r="E61" s="43" t="s">
        <v>832</v>
      </c>
      <c r="F61" s="43" t="s">
        <v>46</v>
      </c>
      <c r="G61" s="43" t="str">
        <f t="shared" ref="G61" si="17">price_label</f>
        <v>£m 23/24 prices</v>
      </c>
      <c r="H61" s="43" t="s">
        <v>891</v>
      </c>
      <c r="AU61" s="161">
        <v>12.74091820663757</v>
      </c>
      <c r="AV61" s="28">
        <v>11.108431774810478</v>
      </c>
      <c r="AW61" s="28">
        <v>10.998483108918286</v>
      </c>
      <c r="AX61" s="28">
        <v>8.3157325492065564</v>
      </c>
      <c r="AY61" s="28">
        <v>5.8129917227988903</v>
      </c>
      <c r="BA61" s="44" t="str">
        <f t="shared" ref="BA61:BA130" ca="1" si="18">$A$1</f>
        <v>NGT_SO</v>
      </c>
      <c r="BB61" s="44" t="str">
        <f t="shared" ref="BB61:BB76" si="19">$A$6</f>
        <v>Variable inputs</v>
      </c>
      <c r="BC61" s="44" t="str">
        <f t="shared" ref="BC61:BC76" si="20">$B$59</f>
        <v>Variant allowances</v>
      </c>
      <c r="BD61" s="44" t="str">
        <f t="shared" ref="BD61:BD76" si="21">$C$60</f>
        <v>Variant allowances (including Real Price Effects)</v>
      </c>
    </row>
    <row r="62" spans="2:56" ht="16.5">
      <c r="E62" s="43" t="s">
        <v>833</v>
      </c>
      <c r="F62" s="43" t="s">
        <v>46</v>
      </c>
      <c r="G62" s="43" t="str">
        <f t="shared" ref="G62" si="22">price_label</f>
        <v>£m 23/24 prices</v>
      </c>
      <c r="H62" s="43" t="s">
        <v>892</v>
      </c>
      <c r="AU62" s="161">
        <v>0</v>
      </c>
      <c r="AV62" s="28">
        <v>0</v>
      </c>
      <c r="AW62" s="28">
        <v>0</v>
      </c>
      <c r="AX62" s="28">
        <v>0</v>
      </c>
      <c r="AY62" s="28">
        <v>0</v>
      </c>
      <c r="BA62" s="44" t="str">
        <f t="shared" ca="1" si="18"/>
        <v>NGT_SO</v>
      </c>
      <c r="BB62" s="44" t="str">
        <f t="shared" si="19"/>
        <v>Variable inputs</v>
      </c>
      <c r="BC62" s="44" t="str">
        <f t="shared" si="20"/>
        <v>Variant allowances</v>
      </c>
      <c r="BD62" s="44" t="str">
        <f t="shared" si="21"/>
        <v>Variant allowances (including Real Price Effects)</v>
      </c>
    </row>
    <row r="63" spans="2:56" ht="16.5">
      <c r="E63" s="43" t="s">
        <v>834</v>
      </c>
      <c r="F63" s="43" t="s">
        <v>881</v>
      </c>
      <c r="G63" s="43" t="str">
        <f t="shared" ref="G63" si="23">price_label</f>
        <v>£m 23/24 prices</v>
      </c>
      <c r="H63" s="43" t="s">
        <v>893</v>
      </c>
      <c r="AU63" s="161">
        <v>1.1208418453705999</v>
      </c>
      <c r="AV63" s="28">
        <v>1.063803493841891</v>
      </c>
      <c r="AW63" s="28">
        <v>1.1924985147872689</v>
      </c>
      <c r="AX63" s="28">
        <v>0</v>
      </c>
      <c r="AY63" s="28">
        <v>0</v>
      </c>
      <c r="BA63" s="44" t="str">
        <f t="shared" ca="1" si="18"/>
        <v>NGT_SO</v>
      </c>
      <c r="BB63" s="44" t="str">
        <f t="shared" si="19"/>
        <v>Variable inputs</v>
      </c>
      <c r="BC63" s="44" t="str">
        <f t="shared" si="20"/>
        <v>Variant allowances</v>
      </c>
      <c r="BD63" s="44" t="str">
        <f t="shared" si="21"/>
        <v>Variant allowances (including Real Price Effects)</v>
      </c>
    </row>
    <row r="64" spans="2:56" ht="16.5">
      <c r="E64" s="43" t="s">
        <v>878</v>
      </c>
      <c r="F64" s="43" t="s">
        <v>54</v>
      </c>
      <c r="G64" s="43" t="str">
        <f t="shared" ref="G64" si="24">price_label</f>
        <v>£m 23/24 prices</v>
      </c>
      <c r="H64" s="43" t="s">
        <v>898</v>
      </c>
      <c r="AU64" s="161">
        <v>0</v>
      </c>
      <c r="AV64" s="28">
        <v>0</v>
      </c>
      <c r="AW64" s="28">
        <v>0</v>
      </c>
      <c r="AX64" s="28">
        <v>0</v>
      </c>
      <c r="AY64" s="28">
        <v>0</v>
      </c>
      <c r="BA64" s="44" t="str">
        <f t="shared" ca="1" si="18"/>
        <v>NGT_SO</v>
      </c>
      <c r="BB64" s="44" t="str">
        <f t="shared" si="19"/>
        <v>Variable inputs</v>
      </c>
      <c r="BC64" s="44" t="str">
        <f t="shared" si="20"/>
        <v>Variant allowances</v>
      </c>
      <c r="BD64" s="44" t="str">
        <f t="shared" si="21"/>
        <v>Variant allowances (including Real Price Effects)</v>
      </c>
    </row>
    <row r="65" spans="1:56" ht="16.5">
      <c r="E65" s="43" t="s">
        <v>841</v>
      </c>
      <c r="F65" s="43" t="s">
        <v>57</v>
      </c>
      <c r="G65" s="43" t="str">
        <f t="shared" ref="G65" si="25">price_label</f>
        <v>£m 23/24 prices</v>
      </c>
      <c r="H65" s="43" t="s">
        <v>899</v>
      </c>
      <c r="AU65" s="161">
        <v>0</v>
      </c>
      <c r="AV65" s="28">
        <v>0</v>
      </c>
      <c r="AW65" s="28">
        <v>0</v>
      </c>
      <c r="AX65" s="28">
        <v>0</v>
      </c>
      <c r="AY65" s="28">
        <v>0</v>
      </c>
      <c r="BA65" s="44" t="str">
        <f t="shared" ca="1" si="18"/>
        <v>NGT_SO</v>
      </c>
      <c r="BB65" s="44" t="str">
        <f t="shared" si="19"/>
        <v>Variable inputs</v>
      </c>
      <c r="BC65" s="44" t="str">
        <f t="shared" si="20"/>
        <v>Variant allowances</v>
      </c>
      <c r="BD65" s="44" t="str">
        <f t="shared" si="21"/>
        <v>Variant allowances (including Real Price Effects)</v>
      </c>
    </row>
    <row r="66" spans="1:56" ht="16.5">
      <c r="E66" s="43" t="s">
        <v>844</v>
      </c>
      <c r="F66" s="43" t="s">
        <v>43</v>
      </c>
      <c r="G66" s="43" t="str">
        <f t="shared" ref="G66" si="26">price_label</f>
        <v>£m 23/24 prices</v>
      </c>
      <c r="H66" s="43" t="s">
        <v>903</v>
      </c>
      <c r="AU66" s="161">
        <v>0</v>
      </c>
      <c r="AV66" s="28">
        <v>0</v>
      </c>
      <c r="AW66" s="28">
        <v>0</v>
      </c>
      <c r="AX66" s="28">
        <v>0</v>
      </c>
      <c r="AY66" s="28">
        <v>0</v>
      </c>
      <c r="BA66" s="44" t="str">
        <f t="shared" ca="1" si="18"/>
        <v>NGT_SO</v>
      </c>
      <c r="BB66" s="44" t="str">
        <f t="shared" si="19"/>
        <v>Variable inputs</v>
      </c>
      <c r="BC66" s="44" t="str">
        <f t="shared" si="20"/>
        <v>Variant allowances</v>
      </c>
      <c r="BD66" s="44" t="str">
        <f t="shared" si="21"/>
        <v>Variant allowances (including Real Price Effects)</v>
      </c>
    </row>
    <row r="67" spans="1:56" ht="16.5">
      <c r="E67" s="43" t="s">
        <v>879</v>
      </c>
      <c r="F67" s="43" t="s">
        <v>43</v>
      </c>
      <c r="G67" s="43" t="str">
        <f t="shared" ref="G67" si="27">price_label</f>
        <v>£m 23/24 prices</v>
      </c>
      <c r="H67" s="43" t="s">
        <v>904</v>
      </c>
      <c r="AU67" s="161">
        <v>0</v>
      </c>
      <c r="AV67" s="28">
        <v>0</v>
      </c>
      <c r="AW67" s="28">
        <v>0</v>
      </c>
      <c r="AX67" s="28">
        <v>0</v>
      </c>
      <c r="AY67" s="28">
        <v>0</v>
      </c>
      <c r="BA67" s="44" t="str">
        <f t="shared" ca="1" si="18"/>
        <v>NGT_SO</v>
      </c>
      <c r="BB67" s="44" t="str">
        <f t="shared" si="19"/>
        <v>Variable inputs</v>
      </c>
      <c r="BC67" s="44" t="str">
        <f t="shared" si="20"/>
        <v>Variant allowances</v>
      </c>
      <c r="BD67" s="44" t="str">
        <f t="shared" si="21"/>
        <v>Variant allowances (including Real Price Effects)</v>
      </c>
    </row>
    <row r="68" spans="1:56" ht="16.5">
      <c r="E68" s="43" t="s">
        <v>880</v>
      </c>
      <c r="F68" s="43" t="s">
        <v>864</v>
      </c>
      <c r="G68" s="43" t="str">
        <f t="shared" ref="G68" si="28">price_label</f>
        <v>£m 23/24 prices</v>
      </c>
      <c r="H68" s="43" t="s">
        <v>914</v>
      </c>
      <c r="AU68" s="161">
        <v>2.6516373524992143</v>
      </c>
      <c r="AV68" s="161">
        <v>10.021011242721324</v>
      </c>
      <c r="AW68" s="161">
        <v>17.576276989813707</v>
      </c>
      <c r="AX68" s="161">
        <v>6.7449438119626199</v>
      </c>
      <c r="AY68" s="161">
        <v>1.8891264137671688</v>
      </c>
      <c r="BA68" s="44" t="str">
        <f t="shared" ca="1" si="18"/>
        <v>NGT_SO</v>
      </c>
      <c r="BB68" s="44" t="str">
        <f t="shared" si="19"/>
        <v>Variable inputs</v>
      </c>
      <c r="BC68" s="44" t="str">
        <f t="shared" si="20"/>
        <v>Variant allowances</v>
      </c>
      <c r="BD68" s="44" t="str">
        <f t="shared" si="21"/>
        <v>Variant allowances (including Real Price Effects)</v>
      </c>
    </row>
    <row r="69" spans="1:56" ht="16.5">
      <c r="E69" s="43" t="s">
        <v>857</v>
      </c>
      <c r="F69" s="43" t="s">
        <v>866</v>
      </c>
      <c r="G69" s="43" t="str">
        <f t="shared" ref="G69" si="29">price_label</f>
        <v>£m 23/24 prices</v>
      </c>
      <c r="H69" s="43" t="s">
        <v>917</v>
      </c>
      <c r="AU69" s="161">
        <v>0</v>
      </c>
      <c r="AV69" s="28">
        <v>0</v>
      </c>
      <c r="AW69" s="28">
        <v>0</v>
      </c>
      <c r="AX69" s="28">
        <v>0</v>
      </c>
      <c r="AY69" s="28">
        <v>0</v>
      </c>
      <c r="BA69" s="44" t="str">
        <f t="shared" ca="1" si="18"/>
        <v>NGT_SO</v>
      </c>
      <c r="BB69" s="44" t="str">
        <f t="shared" si="19"/>
        <v>Variable inputs</v>
      </c>
      <c r="BC69" s="44" t="str">
        <f t="shared" si="20"/>
        <v>Variant allowances</v>
      </c>
      <c r="BD69" s="44" t="str">
        <f t="shared" si="21"/>
        <v>Variant allowances (including Real Price Effects)</v>
      </c>
    </row>
    <row r="70" spans="1:56">
      <c r="E70" s="43" t="s">
        <v>1012</v>
      </c>
      <c r="G70" s="43" t="str">
        <f t="shared" ref="G70" si="30">price_label</f>
        <v>£m 23/24 prices</v>
      </c>
      <c r="AU70" s="161"/>
      <c r="AV70" s="28"/>
      <c r="AW70" s="28"/>
      <c r="AX70" s="28"/>
      <c r="AY70" s="28"/>
      <c r="BA70" s="44" t="str">
        <f t="shared" ca="1" si="18"/>
        <v>NGT_SO</v>
      </c>
      <c r="BB70" s="44" t="str">
        <f t="shared" si="19"/>
        <v>Variable inputs</v>
      </c>
      <c r="BC70" s="44" t="str">
        <f t="shared" si="20"/>
        <v>Variant allowances</v>
      </c>
      <c r="BD70" s="44" t="str">
        <f t="shared" si="21"/>
        <v>Variant allowances (including Real Price Effects)</v>
      </c>
    </row>
    <row r="71" spans="1:56">
      <c r="B71"/>
      <c r="E71" s="43" t="s">
        <v>255</v>
      </c>
      <c r="G71" s="43" t="str">
        <f t="shared" ref="G71:G73" si="31">price_label</f>
        <v>£m 23/24 prices</v>
      </c>
      <c r="AU71" s="161"/>
      <c r="AV71" s="28"/>
      <c r="AW71" s="28"/>
      <c r="AX71" s="28"/>
      <c r="AY71" s="28"/>
      <c r="BA71" s="44" t="str">
        <f t="shared" ca="1" si="18"/>
        <v>NGT_SO</v>
      </c>
      <c r="BB71" s="44" t="str">
        <f t="shared" si="19"/>
        <v>Variable inputs</v>
      </c>
      <c r="BC71" s="44" t="str">
        <f t="shared" si="20"/>
        <v>Variant allowances</v>
      </c>
      <c r="BD71" s="44" t="str">
        <f t="shared" si="21"/>
        <v>Variant allowances (including Real Price Effects)</v>
      </c>
    </row>
    <row r="72" spans="1:56">
      <c r="E72" s="43" t="s">
        <v>256</v>
      </c>
      <c r="G72" s="43" t="str">
        <f t="shared" si="31"/>
        <v>£m 23/24 prices</v>
      </c>
      <c r="AU72" s="161"/>
      <c r="AV72" s="28"/>
      <c r="AW72" s="28"/>
      <c r="AX72" s="28"/>
      <c r="AY72" s="28"/>
      <c r="BA72" s="44" t="str">
        <f t="shared" ca="1" si="18"/>
        <v>NGT_SO</v>
      </c>
      <c r="BB72" s="44" t="str">
        <f t="shared" si="19"/>
        <v>Variable inputs</v>
      </c>
      <c r="BC72" s="44" t="str">
        <f t="shared" si="20"/>
        <v>Variant allowances</v>
      </c>
      <c r="BD72" s="44" t="str">
        <f t="shared" si="21"/>
        <v>Variant allowances (including Real Price Effects)</v>
      </c>
    </row>
    <row r="73" spans="1:56">
      <c r="E73" s="43" t="s">
        <v>1155</v>
      </c>
      <c r="G73" s="43" t="str">
        <f t="shared" si="31"/>
        <v>£m 23/24 prices</v>
      </c>
      <c r="AU73" s="161"/>
      <c r="AV73" s="28"/>
      <c r="AW73" s="28"/>
      <c r="AX73" s="28"/>
      <c r="AY73" s="28"/>
      <c r="BA73" s="44" t="str">
        <f t="shared" ca="1" si="18"/>
        <v>NGT_SO</v>
      </c>
      <c r="BB73" s="44" t="str">
        <f t="shared" si="19"/>
        <v>Variable inputs</v>
      </c>
      <c r="BC73" s="44" t="str">
        <f t="shared" si="20"/>
        <v>Variant allowances</v>
      </c>
      <c r="BD73" s="44" t="str">
        <f t="shared" si="21"/>
        <v>Variant allowances (including Real Price Effects)</v>
      </c>
    </row>
    <row r="74" spans="1:56">
      <c r="E74" s="43" t="s">
        <v>1156</v>
      </c>
      <c r="G74" s="43" t="str">
        <f t="shared" ref="G74" si="32">price_label</f>
        <v>£m 23/24 prices</v>
      </c>
      <c r="AU74" s="161"/>
      <c r="AV74" s="28"/>
      <c r="AW74" s="28"/>
      <c r="AX74" s="28"/>
      <c r="AY74" s="28"/>
      <c r="BA74" s="44" t="str">
        <f t="shared" ca="1" si="18"/>
        <v>NGT_SO</v>
      </c>
      <c r="BB74" s="44" t="str">
        <f t="shared" si="19"/>
        <v>Variable inputs</v>
      </c>
      <c r="BC74" s="44" t="str">
        <f t="shared" si="20"/>
        <v>Variant allowances</v>
      </c>
      <c r="BD74" s="44" t="str">
        <f t="shared" si="21"/>
        <v>Variant allowances (including Real Price Effects)</v>
      </c>
    </row>
    <row r="75" spans="1:56">
      <c r="E75" s="43" t="s">
        <v>1157</v>
      </c>
      <c r="G75" s="43" t="str">
        <f t="shared" ref="G75" si="33">price_label</f>
        <v>£m 23/24 prices</v>
      </c>
      <c r="AU75" s="161"/>
      <c r="AV75" s="28"/>
      <c r="AW75" s="28"/>
      <c r="AX75" s="28"/>
      <c r="AY75" s="28"/>
      <c r="BA75" s="44" t="str">
        <f t="shared" ca="1" si="18"/>
        <v>NGT_SO</v>
      </c>
      <c r="BB75" s="44" t="str">
        <f t="shared" si="19"/>
        <v>Variable inputs</v>
      </c>
      <c r="BC75" s="44" t="str">
        <f t="shared" si="20"/>
        <v>Variant allowances</v>
      </c>
      <c r="BD75" s="44" t="str">
        <f t="shared" si="21"/>
        <v>Variant allowances (including Real Price Effects)</v>
      </c>
    </row>
    <row r="76" spans="1:56">
      <c r="E76" s="43" t="s">
        <v>1158</v>
      </c>
      <c r="G76" s="43" t="str">
        <f t="shared" ref="G76" si="34">price_label</f>
        <v>£m 23/24 prices</v>
      </c>
      <c r="AU76" s="161"/>
      <c r="AV76" s="28"/>
      <c r="AW76" s="28"/>
      <c r="AX76" s="28"/>
      <c r="AY76" s="28"/>
      <c r="BA76" s="44" t="str">
        <f t="shared" ca="1" si="18"/>
        <v>NGT_SO</v>
      </c>
      <c r="BB76" s="44" t="str">
        <f t="shared" si="19"/>
        <v>Variable inputs</v>
      </c>
      <c r="BC76" s="44" t="str">
        <f t="shared" si="20"/>
        <v>Variant allowances</v>
      </c>
      <c r="BD76" s="44" t="str">
        <f t="shared" si="21"/>
        <v>Variant allowances (including Real Price Effects)</v>
      </c>
    </row>
    <row r="77" spans="1:56" customFormat="1" ht="14.5">
      <c r="AT77" s="76"/>
      <c r="BA77" s="44"/>
    </row>
    <row r="78" spans="1:56" ht="20" thickBot="1">
      <c r="A78" s="22" t="s">
        <v>64</v>
      </c>
    </row>
    <row r="79" spans="1:56" customFormat="1" ht="18" thickTop="1" thickBot="1">
      <c r="B79" s="11" t="s">
        <v>39</v>
      </c>
      <c r="AT79" s="77"/>
    </row>
    <row r="80" spans="1:56" ht="17" thickTop="1" thickBot="1">
      <c r="C80" s="12" t="s">
        <v>59</v>
      </c>
      <c r="AU80" s="43" t="s">
        <v>510</v>
      </c>
      <c r="AV80" s="43" t="s">
        <v>513</v>
      </c>
      <c r="AW80" s="43" t="s">
        <v>514</v>
      </c>
    </row>
    <row r="81" spans="5:56">
      <c r="E81" s="43" t="str">
        <f>E61</f>
        <v>Cyber resilience term Price Control Deliverable</v>
      </c>
      <c r="F81" s="43" t="str">
        <f>F61</f>
        <v>SpC 3.2</v>
      </c>
      <c r="G81" s="43" t="s">
        <v>148</v>
      </c>
      <c r="H81" s="43" t="s">
        <v>872</v>
      </c>
      <c r="AU81" s="163" t="b">
        <v>1</v>
      </c>
      <c r="AV81" s="31" t="b">
        <v>1</v>
      </c>
      <c r="AW81" s="33" t="s">
        <v>828</v>
      </c>
      <c r="AX81"/>
      <c r="BA81" s="44" t="str">
        <f t="shared" ca="1" si="18"/>
        <v>NGT_SO</v>
      </c>
      <c r="BB81" s="44" t="str">
        <f t="shared" ref="BB81:BB96" si="35">$A$78</f>
        <v>Fixed Inputs</v>
      </c>
      <c r="BC81" s="44" t="str">
        <f>$B$79</f>
        <v>Variant allowances</v>
      </c>
      <c r="BD81" s="44" t="str">
        <f t="shared" ref="BD81:BD96" si="36">$C$80</f>
        <v>Variant attributes</v>
      </c>
    </row>
    <row r="82" spans="5:56">
      <c r="E82" s="43" t="str">
        <f t="shared" ref="E82:F96" si="37">E62</f>
        <v>Cyber resilience Re-Opener</v>
      </c>
      <c r="F82" s="43" t="str">
        <f t="shared" si="37"/>
        <v>SpC 3.2</v>
      </c>
      <c r="G82" s="43" t="s">
        <v>148</v>
      </c>
      <c r="H82" s="43" t="s">
        <v>873</v>
      </c>
      <c r="AU82" s="163" t="b">
        <v>1</v>
      </c>
      <c r="AV82" s="31" t="b">
        <v>0</v>
      </c>
      <c r="AW82" s="33" t="s">
        <v>829</v>
      </c>
      <c r="AX82"/>
      <c r="BA82" s="44" t="str">
        <f t="shared" ca="1" si="18"/>
        <v>NGT_SO</v>
      </c>
      <c r="BB82" s="44" t="str">
        <f t="shared" si="35"/>
        <v>Fixed Inputs</v>
      </c>
      <c r="BC82" s="44" t="str">
        <f t="shared" ref="BC82:BC96" si="38">$B$79</f>
        <v>Variant allowances</v>
      </c>
      <c r="BD82" s="44" t="str">
        <f t="shared" si="36"/>
        <v>Variant attributes</v>
      </c>
    </row>
    <row r="83" spans="5:56">
      <c r="E83" s="43" t="str">
        <f t="shared" si="37"/>
        <v>Cyber Use it or lose it allowance</v>
      </c>
      <c r="F83" s="43" t="str">
        <f t="shared" si="37"/>
        <v>SpC
3.2</v>
      </c>
      <c r="G83" s="43" t="s">
        <v>148</v>
      </c>
      <c r="H83" s="43" t="s">
        <v>874</v>
      </c>
      <c r="AU83" s="163" t="b">
        <v>0</v>
      </c>
      <c r="AV83" s="31" t="b">
        <v>0</v>
      </c>
      <c r="AW83" s="33" t="s">
        <v>828</v>
      </c>
      <c r="AX83"/>
      <c r="BA83" s="44" t="str">
        <f t="shared" ca="1" si="18"/>
        <v>NGT_SO</v>
      </c>
      <c r="BB83" s="44" t="str">
        <f t="shared" si="35"/>
        <v>Fixed Inputs</v>
      </c>
      <c r="BC83" s="44" t="str">
        <f t="shared" si="38"/>
        <v>Variant allowances</v>
      </c>
      <c r="BD83" s="44" t="str">
        <f t="shared" si="36"/>
        <v>Variant attributes</v>
      </c>
    </row>
    <row r="84" spans="5:56">
      <c r="E84" s="43" t="str">
        <f t="shared" si="37"/>
        <v>Decarbonisation and Environmental Policy Re-opener</v>
      </c>
      <c r="F84" s="43" t="str">
        <f t="shared" si="37"/>
        <v>SpC 3.6</v>
      </c>
      <c r="G84" s="43" t="s">
        <v>148</v>
      </c>
      <c r="H84" s="43" t="s">
        <v>772</v>
      </c>
      <c r="AU84" s="163" t="b">
        <v>1</v>
      </c>
      <c r="AV84" s="31" t="b">
        <v>0</v>
      </c>
      <c r="AW84" s="33" t="s">
        <v>829</v>
      </c>
      <c r="AX84"/>
      <c r="BA84" s="44" t="str">
        <f t="shared" ca="1" si="18"/>
        <v>NGT_SO</v>
      </c>
      <c r="BB84" s="44" t="str">
        <f t="shared" si="35"/>
        <v>Fixed Inputs</v>
      </c>
      <c r="BC84" s="44" t="str">
        <f t="shared" si="38"/>
        <v>Variant allowances</v>
      </c>
      <c r="BD84" s="44" t="str">
        <f t="shared" si="36"/>
        <v>Variant attributes</v>
      </c>
    </row>
    <row r="85" spans="5:56">
      <c r="E85" s="43" t="str">
        <f t="shared" si="37"/>
        <v>Digitalisation Re-opener</v>
      </c>
      <c r="F85" s="43" t="str">
        <f t="shared" si="37"/>
        <v>SpC 3.7</v>
      </c>
      <c r="G85" s="43" t="s">
        <v>148</v>
      </c>
      <c r="H85" s="43" t="s">
        <v>875</v>
      </c>
      <c r="AU85" s="163" t="b">
        <v>1</v>
      </c>
      <c r="AV85" s="31" t="b">
        <v>0</v>
      </c>
      <c r="AW85" s="33" t="s">
        <v>829</v>
      </c>
      <c r="AX85"/>
      <c r="BA85" s="44" t="str">
        <f t="shared" ca="1" si="18"/>
        <v>NGT_SO</v>
      </c>
      <c r="BB85" s="44" t="str">
        <f t="shared" si="35"/>
        <v>Fixed Inputs</v>
      </c>
      <c r="BC85" s="44" t="str">
        <f t="shared" si="38"/>
        <v>Variant allowances</v>
      </c>
      <c r="BD85" s="44" t="str">
        <f t="shared" si="36"/>
        <v>Variant attributes</v>
      </c>
    </row>
    <row r="86" spans="5:56">
      <c r="E86" s="43" t="str">
        <f t="shared" si="37"/>
        <v>Funded Incremental Obligated Capacity Price Control Deliverable</v>
      </c>
      <c r="F86" s="43" t="str">
        <f t="shared" si="37"/>
        <v>SpC 3.11</v>
      </c>
      <c r="G86" s="43" t="s">
        <v>148</v>
      </c>
      <c r="H86" s="43" t="s">
        <v>262</v>
      </c>
      <c r="AU86" s="163" t="b">
        <v>1</v>
      </c>
      <c r="AV86" s="31" t="b">
        <v>1</v>
      </c>
      <c r="AW86" s="33" t="s">
        <v>828</v>
      </c>
      <c r="AX86"/>
      <c r="BA86" s="44" t="str">
        <f t="shared" ca="1" si="18"/>
        <v>NGT_SO</v>
      </c>
      <c r="BB86" s="44" t="str">
        <f t="shared" si="35"/>
        <v>Fixed Inputs</v>
      </c>
      <c r="BC86" s="44" t="str">
        <f t="shared" si="38"/>
        <v>Variant allowances</v>
      </c>
      <c r="BD86" s="44" t="str">
        <f t="shared" si="36"/>
        <v>Variant attributes</v>
      </c>
    </row>
    <row r="87" spans="5:56">
      <c r="E87" s="43" t="str">
        <f t="shared" si="37"/>
        <v>Funded Incremental Obligated Capacity Price Control Deliverable -Re-Opener Element</v>
      </c>
      <c r="F87" s="43" t="str">
        <f t="shared" si="37"/>
        <v>SpC 3.11</v>
      </c>
      <c r="G87" s="43" t="s">
        <v>148</v>
      </c>
      <c r="H87" s="43" t="s">
        <v>263</v>
      </c>
      <c r="AU87" s="163" t="b">
        <v>1</v>
      </c>
      <c r="AV87" s="31" t="b">
        <v>1</v>
      </c>
      <c r="AW87" s="33" t="s">
        <v>829</v>
      </c>
      <c r="AX87"/>
      <c r="BA87" s="44" t="str">
        <f t="shared" ca="1" si="18"/>
        <v>NGT_SO</v>
      </c>
      <c r="BB87" s="44" t="str">
        <f t="shared" si="35"/>
        <v>Fixed Inputs</v>
      </c>
      <c r="BC87" s="44" t="str">
        <f t="shared" si="38"/>
        <v>Variant allowances</v>
      </c>
      <c r="BD87" s="44" t="str">
        <f t="shared" si="36"/>
        <v>Variant attributes</v>
      </c>
    </row>
    <row r="88" spans="5:56">
      <c r="E88" s="43" t="str">
        <f t="shared" si="37"/>
        <v xml:space="preserve">Office, gas national control centre and emergency control room relocation Re-opener </v>
      </c>
      <c r="F88" s="43" t="str">
        <f t="shared" si="37"/>
        <v>SpC 3.20</v>
      </c>
      <c r="G88" s="43" t="s">
        <v>148</v>
      </c>
      <c r="H88" s="43" t="s">
        <v>876</v>
      </c>
      <c r="AU88" s="163" t="b">
        <v>1</v>
      </c>
      <c r="AV88" s="31" t="b">
        <v>0</v>
      </c>
      <c r="AW88" s="33" t="s">
        <v>829</v>
      </c>
      <c r="AX88"/>
      <c r="BA88" s="44" t="str">
        <f t="shared" ca="1" si="18"/>
        <v>NGT_SO</v>
      </c>
      <c r="BB88" s="44" t="str">
        <f t="shared" si="35"/>
        <v>Fixed Inputs</v>
      </c>
      <c r="BC88" s="44" t="str">
        <f t="shared" si="38"/>
        <v>Variant allowances</v>
      </c>
      <c r="BD88" s="44" t="str">
        <f t="shared" si="36"/>
        <v>Variant attributes</v>
      </c>
    </row>
    <row r="89" spans="5:56">
      <c r="E89" s="43" t="str">
        <f t="shared" si="37"/>
        <v>Network decarbonisation and emissions compliance Re-opener</v>
      </c>
      <c r="F89" s="43" t="str">
        <f t="shared" si="37"/>
        <v>SpC 3.23</v>
      </c>
      <c r="G89" s="43" t="s">
        <v>148</v>
      </c>
      <c r="H89" s="43" t="s">
        <v>877</v>
      </c>
      <c r="AU89" s="163" t="b">
        <v>1</v>
      </c>
      <c r="AV89" s="31" t="b">
        <v>0</v>
      </c>
      <c r="AW89" s="33" t="s">
        <v>829</v>
      </c>
      <c r="AX89"/>
      <c r="BA89" s="44" t="str">
        <f t="shared" ca="1" si="18"/>
        <v>NGT_SO</v>
      </c>
      <c r="BB89" s="44" t="str">
        <f t="shared" si="35"/>
        <v>Fixed Inputs</v>
      </c>
      <c r="BC89" s="44" t="str">
        <f t="shared" si="38"/>
        <v>Variant allowances</v>
      </c>
      <c r="BD89" s="44" t="str">
        <f t="shared" si="36"/>
        <v>Variant attributes</v>
      </c>
    </row>
    <row r="90" spans="5:56">
      <c r="E90" s="43" t="str">
        <f t="shared" si="37"/>
        <v>Spare 1</v>
      </c>
      <c r="G90" s="43" t="s">
        <v>148</v>
      </c>
      <c r="AU90" s="163"/>
      <c r="AV90" s="31"/>
      <c r="AW90" s="33"/>
      <c r="AX90"/>
      <c r="BA90" s="44" t="str">
        <f t="shared" ca="1" si="18"/>
        <v>NGT_SO</v>
      </c>
      <c r="BB90" s="44" t="str">
        <f t="shared" si="35"/>
        <v>Fixed Inputs</v>
      </c>
      <c r="BC90" s="44" t="str">
        <f t="shared" si="38"/>
        <v>Variant allowances</v>
      </c>
      <c r="BD90" s="44" t="str">
        <f t="shared" si="36"/>
        <v>Variant attributes</v>
      </c>
    </row>
    <row r="91" spans="5:56">
      <c r="E91" s="43" t="str">
        <f t="shared" si="37"/>
        <v>Spare 2</v>
      </c>
      <c r="G91" s="43" t="s">
        <v>148</v>
      </c>
      <c r="AU91" s="163"/>
      <c r="AV91" s="31"/>
      <c r="AW91" s="33"/>
      <c r="AX91"/>
      <c r="BA91" s="44" t="str">
        <f t="shared" ca="1" si="18"/>
        <v>NGT_SO</v>
      </c>
      <c r="BB91" s="44" t="str">
        <f t="shared" si="35"/>
        <v>Fixed Inputs</v>
      </c>
      <c r="BC91" s="44" t="str">
        <f t="shared" si="38"/>
        <v>Variant allowances</v>
      </c>
      <c r="BD91" s="44" t="str">
        <f t="shared" si="36"/>
        <v>Variant attributes</v>
      </c>
    </row>
    <row r="92" spans="5:56">
      <c r="E92" s="43" t="str">
        <f t="shared" si="37"/>
        <v>Spare 3</v>
      </c>
      <c r="G92" s="43" t="s">
        <v>148</v>
      </c>
      <c r="AU92" s="163"/>
      <c r="AV92" s="31"/>
      <c r="AW92" s="33"/>
      <c r="AX92"/>
      <c r="BA92" s="44" t="str">
        <f t="shared" ca="1" si="18"/>
        <v>NGT_SO</v>
      </c>
      <c r="BB92" s="44" t="str">
        <f t="shared" si="35"/>
        <v>Fixed Inputs</v>
      </c>
      <c r="BC92" s="44" t="str">
        <f t="shared" si="38"/>
        <v>Variant allowances</v>
      </c>
      <c r="BD92" s="44" t="str">
        <f t="shared" si="36"/>
        <v>Variant attributes</v>
      </c>
    </row>
    <row r="93" spans="5:56">
      <c r="E93" s="43" t="str">
        <f t="shared" si="37"/>
        <v>Spare 4</v>
      </c>
      <c r="G93" s="43" t="s">
        <v>148</v>
      </c>
      <c r="AU93" s="163"/>
      <c r="AV93" s="31"/>
      <c r="AW93" s="33"/>
      <c r="AX93"/>
      <c r="BA93" s="44" t="str">
        <f t="shared" ca="1" si="18"/>
        <v>NGT_SO</v>
      </c>
      <c r="BB93" s="44" t="str">
        <f t="shared" si="35"/>
        <v>Fixed Inputs</v>
      </c>
      <c r="BC93" s="44" t="str">
        <f t="shared" si="38"/>
        <v>Variant allowances</v>
      </c>
      <c r="BD93" s="44" t="str">
        <f t="shared" si="36"/>
        <v>Variant attributes</v>
      </c>
    </row>
    <row r="94" spans="5:56">
      <c r="E94" s="43" t="str">
        <f t="shared" si="37"/>
        <v>Spare 5</v>
      </c>
      <c r="G94" s="43" t="s">
        <v>148</v>
      </c>
      <c r="AU94" s="163"/>
      <c r="AV94" s="31"/>
      <c r="AW94" s="33"/>
      <c r="AX94"/>
      <c r="BA94" s="44" t="str">
        <f t="shared" ca="1" si="18"/>
        <v>NGT_SO</v>
      </c>
      <c r="BB94" s="44" t="str">
        <f t="shared" si="35"/>
        <v>Fixed Inputs</v>
      </c>
      <c r="BC94" s="44" t="str">
        <f t="shared" si="38"/>
        <v>Variant allowances</v>
      </c>
      <c r="BD94" s="44" t="str">
        <f t="shared" si="36"/>
        <v>Variant attributes</v>
      </c>
    </row>
    <row r="95" spans="5:56">
      <c r="E95" s="43" t="str">
        <f t="shared" si="37"/>
        <v>Spare 6</v>
      </c>
      <c r="G95" s="43" t="s">
        <v>148</v>
      </c>
      <c r="AU95" s="163"/>
      <c r="AV95" s="31"/>
      <c r="AW95" s="33"/>
      <c r="AX95"/>
      <c r="BA95" s="44" t="str">
        <f t="shared" ca="1" si="18"/>
        <v>NGT_SO</v>
      </c>
      <c r="BB95" s="44" t="str">
        <f t="shared" si="35"/>
        <v>Fixed Inputs</v>
      </c>
      <c r="BC95" s="44" t="str">
        <f t="shared" si="38"/>
        <v>Variant allowances</v>
      </c>
      <c r="BD95" s="44" t="str">
        <f t="shared" si="36"/>
        <v>Variant attributes</v>
      </c>
    </row>
    <row r="96" spans="5:56">
      <c r="E96" s="43" t="str">
        <f t="shared" si="37"/>
        <v>Spare 7</v>
      </c>
      <c r="G96" s="43" t="s">
        <v>148</v>
      </c>
      <c r="AU96" s="163"/>
      <c r="AV96" s="31"/>
      <c r="AW96" s="33"/>
      <c r="AX96"/>
      <c r="BA96" s="44" t="str">
        <f t="shared" ca="1" si="18"/>
        <v>NGT_SO</v>
      </c>
      <c r="BB96" s="44" t="str">
        <f t="shared" si="35"/>
        <v>Fixed Inputs</v>
      </c>
      <c r="BC96" s="44" t="str">
        <f t="shared" si="38"/>
        <v>Variant allowances</v>
      </c>
      <c r="BD96" s="44" t="str">
        <f t="shared" si="36"/>
        <v>Variant attributes</v>
      </c>
    </row>
    <row r="97" spans="3:56"/>
    <row r="98" spans="3:56" ht="16.5" thickBot="1">
      <c r="C98" s="12" t="s">
        <v>63</v>
      </c>
    </row>
    <row r="99" spans="3:56">
      <c r="E99" s="195" t="str" cm="1">
        <f t="array" ref="E99">INDEX($E$81:$E$96,INT((ROW()-ROW($E$99))/2)+1)</f>
        <v>Cyber resilience term Price Control Deliverable</v>
      </c>
      <c r="F99" s="196"/>
      <c r="G99" s="196" t="s">
        <v>33</v>
      </c>
      <c r="H99" s="196" t="s">
        <v>275</v>
      </c>
      <c r="I99" s="196"/>
      <c r="J99" s="196"/>
      <c r="K99" s="196"/>
      <c r="L99" s="196"/>
      <c r="M99" s="196"/>
      <c r="N99" s="196"/>
      <c r="O99" s="196"/>
      <c r="P99" s="196"/>
      <c r="Q99" s="196"/>
      <c r="R99" s="196"/>
      <c r="S99" s="196"/>
      <c r="T99" s="196"/>
      <c r="U99" s="196"/>
      <c r="V99" s="196"/>
      <c r="W99" s="196"/>
      <c r="X99" s="196"/>
      <c r="Y99" s="196"/>
      <c r="Z99" s="196"/>
      <c r="AA99" s="196"/>
      <c r="AB99" s="196"/>
      <c r="AC99" s="196"/>
      <c r="AD99" s="196"/>
      <c r="AE99" s="196"/>
      <c r="AF99" s="196"/>
      <c r="AG99" s="196"/>
      <c r="AH99" s="196"/>
      <c r="AI99" s="196"/>
      <c r="AJ99" s="196"/>
      <c r="AK99" s="196"/>
      <c r="AL99" s="196"/>
      <c r="AM99" s="196"/>
      <c r="AN99" s="196"/>
      <c r="AO99" s="196"/>
      <c r="AP99" s="196"/>
      <c r="AQ99" s="196"/>
      <c r="AR99" s="196"/>
      <c r="AS99" s="196"/>
      <c r="AT99" s="197"/>
      <c r="AU99" s="209">
        <v>0.6</v>
      </c>
      <c r="AV99" s="210">
        <v>0.6</v>
      </c>
      <c r="AW99" s="210">
        <v>0.6</v>
      </c>
      <c r="AX99" s="210">
        <v>0.6</v>
      </c>
      <c r="AY99" s="211">
        <v>0.6</v>
      </c>
      <c r="BA99" s="44" t="str">
        <f t="shared" ca="1" si="18"/>
        <v>NGT_SO</v>
      </c>
      <c r="BB99" s="44" t="str">
        <f t="shared" ref="BB99:BB130" si="39">$A$78</f>
        <v>Fixed Inputs</v>
      </c>
      <c r="BC99" s="44" t="str">
        <f t="shared" ref="BC99:BC130" si="40">$B$79</f>
        <v>Variant allowances</v>
      </c>
      <c r="BD99" s="44" t="str">
        <f t="shared" ref="BD99:BD130" si="41">$C$98</f>
        <v>Totex variant allowances allocation percentages</v>
      </c>
    </row>
    <row r="100" spans="3:56">
      <c r="E100" s="201" t="str" cm="1">
        <f t="array" ref="E100">INDEX($E$81:$E$96,INT((ROW()-ROW($E$99))/2)+1)</f>
        <v>Cyber resilience term Price Control Deliverable</v>
      </c>
      <c r="F100" s="202"/>
      <c r="G100" s="202" t="s">
        <v>33</v>
      </c>
      <c r="H100" s="202" t="s">
        <v>279</v>
      </c>
      <c r="I100" s="202"/>
      <c r="J100" s="202"/>
      <c r="K100" s="202"/>
      <c r="L100" s="202"/>
      <c r="M100" s="202"/>
      <c r="N100" s="202"/>
      <c r="O100" s="202"/>
      <c r="P100" s="202"/>
      <c r="Q100" s="202"/>
      <c r="R100" s="202"/>
      <c r="S100" s="202"/>
      <c r="T100" s="202"/>
      <c r="U100" s="202"/>
      <c r="V100" s="202"/>
      <c r="W100" s="202"/>
      <c r="X100" s="202"/>
      <c r="Y100" s="202"/>
      <c r="Z100" s="202"/>
      <c r="AA100" s="202"/>
      <c r="AB100" s="202"/>
      <c r="AC100" s="202"/>
      <c r="AD100" s="202"/>
      <c r="AE100" s="202"/>
      <c r="AF100" s="202"/>
      <c r="AG100" s="202"/>
      <c r="AH100" s="202"/>
      <c r="AI100" s="202"/>
      <c r="AJ100" s="202"/>
      <c r="AK100" s="202"/>
      <c r="AL100" s="202"/>
      <c r="AM100" s="202"/>
      <c r="AN100" s="202"/>
      <c r="AO100" s="202"/>
      <c r="AP100" s="202"/>
      <c r="AQ100" s="202"/>
      <c r="AR100" s="202"/>
      <c r="AS100" s="202"/>
      <c r="AT100" s="203"/>
      <c r="AU100" s="214">
        <v>0.4</v>
      </c>
      <c r="AV100" s="215">
        <v>0.4</v>
      </c>
      <c r="AW100" s="215">
        <v>0.4</v>
      </c>
      <c r="AX100" s="215">
        <v>0.4</v>
      </c>
      <c r="AY100" s="216">
        <v>0.4</v>
      </c>
      <c r="BA100" s="44" t="str">
        <f t="shared" ca="1" si="18"/>
        <v>NGT_SO</v>
      </c>
      <c r="BB100" s="44" t="str">
        <f t="shared" si="39"/>
        <v>Fixed Inputs</v>
      </c>
      <c r="BC100" s="44" t="str">
        <f t="shared" si="40"/>
        <v>Variant allowances</v>
      </c>
      <c r="BD100" s="44" t="str">
        <f t="shared" si="41"/>
        <v>Totex variant allowances allocation percentages</v>
      </c>
    </row>
    <row r="101" spans="3:56">
      <c r="E101" s="212" t="str" cm="1">
        <f t="array" ref="E101">INDEX($E$81:$E$96,INT((ROW()-ROW($E$99))/2)+1)</f>
        <v>Cyber resilience Re-Opener</v>
      </c>
      <c r="G101" s="43" t="s">
        <v>33</v>
      </c>
      <c r="H101" s="43" t="s">
        <v>275</v>
      </c>
      <c r="AU101" s="254">
        <v>0</v>
      </c>
      <c r="AV101" s="252">
        <v>0</v>
      </c>
      <c r="AW101" s="252">
        <v>0</v>
      </c>
      <c r="AX101" s="252">
        <v>0</v>
      </c>
      <c r="AY101" s="253">
        <v>0</v>
      </c>
      <c r="BA101" s="44" t="str">
        <f t="shared" ca="1" si="18"/>
        <v>NGT_SO</v>
      </c>
      <c r="BB101" s="44" t="str">
        <f t="shared" si="39"/>
        <v>Fixed Inputs</v>
      </c>
      <c r="BC101" s="44" t="str">
        <f t="shared" si="40"/>
        <v>Variant allowances</v>
      </c>
      <c r="BD101" s="44" t="str">
        <f t="shared" si="41"/>
        <v>Totex variant allowances allocation percentages</v>
      </c>
    </row>
    <row r="102" spans="3:56">
      <c r="E102" s="201" t="str" cm="1">
        <f t="array" ref="E102">INDEX($E$81:$E$96,INT((ROW()-ROW($E$99))/2)+1)</f>
        <v>Cyber resilience Re-Opener</v>
      </c>
      <c r="F102" s="202"/>
      <c r="G102" s="202" t="s">
        <v>33</v>
      </c>
      <c r="H102" s="202" t="s">
        <v>279</v>
      </c>
      <c r="I102" s="202"/>
      <c r="J102" s="202"/>
      <c r="K102" s="202"/>
      <c r="L102" s="202"/>
      <c r="M102" s="202"/>
      <c r="N102" s="202"/>
      <c r="O102" s="202"/>
      <c r="P102" s="202"/>
      <c r="Q102" s="202"/>
      <c r="R102" s="202"/>
      <c r="S102" s="202"/>
      <c r="T102" s="202"/>
      <c r="U102" s="202"/>
      <c r="V102" s="202"/>
      <c r="W102" s="202"/>
      <c r="X102" s="202"/>
      <c r="Y102" s="202"/>
      <c r="Z102" s="202"/>
      <c r="AA102" s="202"/>
      <c r="AB102" s="202"/>
      <c r="AC102" s="202"/>
      <c r="AD102" s="202"/>
      <c r="AE102" s="202"/>
      <c r="AF102" s="202"/>
      <c r="AG102" s="202"/>
      <c r="AH102" s="202"/>
      <c r="AI102" s="202"/>
      <c r="AJ102" s="202"/>
      <c r="AK102" s="202"/>
      <c r="AL102" s="202"/>
      <c r="AM102" s="202"/>
      <c r="AN102" s="202"/>
      <c r="AO102" s="202"/>
      <c r="AP102" s="202"/>
      <c r="AQ102" s="202"/>
      <c r="AR102" s="202"/>
      <c r="AS102" s="202"/>
      <c r="AT102" s="203"/>
      <c r="AU102" s="204">
        <v>0</v>
      </c>
      <c r="AV102" s="205">
        <v>0</v>
      </c>
      <c r="AW102" s="205">
        <v>0</v>
      </c>
      <c r="AX102" s="205">
        <v>0</v>
      </c>
      <c r="AY102" s="206">
        <v>0</v>
      </c>
      <c r="BA102" s="44" t="str">
        <f t="shared" ca="1" si="18"/>
        <v>NGT_SO</v>
      </c>
      <c r="BB102" s="44" t="str">
        <f t="shared" si="39"/>
        <v>Fixed Inputs</v>
      </c>
      <c r="BC102" s="44" t="str">
        <f t="shared" si="40"/>
        <v>Variant allowances</v>
      </c>
      <c r="BD102" s="44" t="str">
        <f t="shared" si="41"/>
        <v>Totex variant allowances allocation percentages</v>
      </c>
    </row>
    <row r="103" spans="3:56">
      <c r="E103" s="195" t="str" cm="1">
        <f t="array" ref="E103">INDEX($E$81:$E$96,INT((ROW()-ROW($E$99))/2)+1)</f>
        <v>Cyber Use it or lose it allowance</v>
      </c>
      <c r="F103" s="196"/>
      <c r="G103" s="196" t="s">
        <v>33</v>
      </c>
      <c r="H103" s="196" t="s">
        <v>275</v>
      </c>
      <c r="I103" s="196"/>
      <c r="J103" s="196"/>
      <c r="K103" s="196"/>
      <c r="L103" s="196"/>
      <c r="M103" s="196"/>
      <c r="N103" s="196"/>
      <c r="O103" s="196"/>
      <c r="P103" s="196"/>
      <c r="Q103" s="196"/>
      <c r="R103" s="196"/>
      <c r="S103" s="196"/>
      <c r="T103" s="196"/>
      <c r="U103" s="196"/>
      <c r="V103" s="196"/>
      <c r="W103" s="196"/>
      <c r="X103" s="196"/>
      <c r="Y103" s="196"/>
      <c r="Z103" s="196"/>
      <c r="AA103" s="196"/>
      <c r="AB103" s="196"/>
      <c r="AC103" s="196"/>
      <c r="AD103" s="196"/>
      <c r="AE103" s="196"/>
      <c r="AF103" s="196"/>
      <c r="AG103" s="196"/>
      <c r="AH103" s="196"/>
      <c r="AI103" s="196"/>
      <c r="AJ103" s="196"/>
      <c r="AK103" s="196"/>
      <c r="AL103" s="196"/>
      <c r="AM103" s="196"/>
      <c r="AN103" s="196"/>
      <c r="AO103" s="196"/>
      <c r="AP103" s="196"/>
      <c r="AQ103" s="196"/>
      <c r="AR103" s="196"/>
      <c r="AS103" s="196"/>
      <c r="AT103" s="197"/>
      <c r="AU103" s="165">
        <v>0.6</v>
      </c>
      <c r="AV103" s="32">
        <v>0.6</v>
      </c>
      <c r="AW103" s="32">
        <v>0.6</v>
      </c>
      <c r="AX103" s="32">
        <v>0.6</v>
      </c>
      <c r="AY103" s="32">
        <v>0.6</v>
      </c>
      <c r="BA103" s="44" t="str">
        <f t="shared" ca="1" si="18"/>
        <v>NGT_SO</v>
      </c>
      <c r="BB103" s="44" t="str">
        <f t="shared" si="39"/>
        <v>Fixed Inputs</v>
      </c>
      <c r="BC103" s="44" t="str">
        <f t="shared" si="40"/>
        <v>Variant allowances</v>
      </c>
      <c r="BD103" s="44" t="str">
        <f t="shared" si="41"/>
        <v>Totex variant allowances allocation percentages</v>
      </c>
    </row>
    <row r="104" spans="3:56">
      <c r="E104" s="212" t="str" cm="1">
        <f t="array" ref="E104">INDEX($E$81:$E$96,INT((ROW()-ROW($E$99))/2)+1)</f>
        <v>Cyber Use it or lose it allowance</v>
      </c>
      <c r="G104" s="43" t="s">
        <v>33</v>
      </c>
      <c r="H104" s="43" t="s">
        <v>279</v>
      </c>
      <c r="AU104" s="217">
        <v>0.4</v>
      </c>
      <c r="AV104" s="218">
        <v>0.4</v>
      </c>
      <c r="AW104" s="218">
        <v>0.4</v>
      </c>
      <c r="AX104" s="218">
        <v>0.4</v>
      </c>
      <c r="AY104" s="218">
        <v>0.4</v>
      </c>
      <c r="BA104" s="44" t="str">
        <f t="shared" ca="1" si="18"/>
        <v>NGT_SO</v>
      </c>
      <c r="BB104" s="44" t="str">
        <f t="shared" si="39"/>
        <v>Fixed Inputs</v>
      </c>
      <c r="BC104" s="44" t="str">
        <f t="shared" si="40"/>
        <v>Variant allowances</v>
      </c>
      <c r="BD104" s="44" t="str">
        <f t="shared" si="41"/>
        <v>Totex variant allowances allocation percentages</v>
      </c>
    </row>
    <row r="105" spans="3:56">
      <c r="E105" s="195" t="str" cm="1">
        <f t="array" ref="E105">INDEX($E$81:$E$96,INT((ROW()-ROW($E$99))/2)+1)</f>
        <v>Decarbonisation and Environmental Policy Re-opener</v>
      </c>
      <c r="F105" s="196"/>
      <c r="G105" s="196" t="s">
        <v>33</v>
      </c>
      <c r="H105" s="196" t="s">
        <v>275</v>
      </c>
      <c r="I105" s="196"/>
      <c r="J105" s="196"/>
      <c r="K105" s="196"/>
      <c r="L105" s="196"/>
      <c r="M105" s="196"/>
      <c r="N105" s="196"/>
      <c r="O105" s="196"/>
      <c r="P105" s="196"/>
      <c r="Q105" s="196"/>
      <c r="R105" s="196"/>
      <c r="S105" s="196"/>
      <c r="T105" s="196"/>
      <c r="U105" s="196"/>
      <c r="V105" s="196"/>
      <c r="W105" s="196"/>
      <c r="X105" s="196"/>
      <c r="Y105" s="196"/>
      <c r="Z105" s="196"/>
      <c r="AA105" s="196"/>
      <c r="AB105" s="196"/>
      <c r="AC105" s="196"/>
      <c r="AD105" s="196"/>
      <c r="AE105" s="196"/>
      <c r="AF105" s="196"/>
      <c r="AG105" s="196"/>
      <c r="AH105" s="196"/>
      <c r="AI105" s="196"/>
      <c r="AJ105" s="196"/>
      <c r="AK105" s="196"/>
      <c r="AL105" s="196"/>
      <c r="AM105" s="196"/>
      <c r="AN105" s="196"/>
      <c r="AO105" s="196"/>
      <c r="AP105" s="196"/>
      <c r="AQ105" s="196"/>
      <c r="AR105" s="196"/>
      <c r="AS105" s="196"/>
      <c r="AT105" s="197"/>
      <c r="AU105" s="198">
        <v>0</v>
      </c>
      <c r="AV105" s="199">
        <v>0</v>
      </c>
      <c r="AW105" s="199">
        <v>0</v>
      </c>
      <c r="AX105" s="199">
        <v>0</v>
      </c>
      <c r="AY105" s="200">
        <v>0</v>
      </c>
      <c r="BA105" s="44" t="str">
        <f t="shared" ca="1" si="18"/>
        <v>NGT_SO</v>
      </c>
      <c r="BB105" s="44" t="str">
        <f t="shared" si="39"/>
        <v>Fixed Inputs</v>
      </c>
      <c r="BC105" s="44" t="str">
        <f t="shared" si="40"/>
        <v>Variant allowances</v>
      </c>
      <c r="BD105" s="44" t="str">
        <f t="shared" si="41"/>
        <v>Totex variant allowances allocation percentages</v>
      </c>
    </row>
    <row r="106" spans="3:56">
      <c r="E106" s="212" t="str" cm="1">
        <f t="array" ref="E106">INDEX($E$81:$E$96,INT((ROW()-ROW($E$99))/2)+1)</f>
        <v>Decarbonisation and Environmental Policy Re-opener</v>
      </c>
      <c r="G106" s="43" t="s">
        <v>33</v>
      </c>
      <c r="H106" s="43" t="s">
        <v>279</v>
      </c>
      <c r="AU106" s="255">
        <v>0</v>
      </c>
      <c r="AV106" s="250">
        <v>0</v>
      </c>
      <c r="AW106" s="250">
        <v>0</v>
      </c>
      <c r="AX106" s="250">
        <v>0</v>
      </c>
      <c r="AY106" s="251">
        <v>0</v>
      </c>
      <c r="BA106" s="44" t="str">
        <f t="shared" ca="1" si="18"/>
        <v>NGT_SO</v>
      </c>
      <c r="BB106" s="44" t="str">
        <f t="shared" si="39"/>
        <v>Fixed Inputs</v>
      </c>
      <c r="BC106" s="44" t="str">
        <f t="shared" si="40"/>
        <v>Variant allowances</v>
      </c>
      <c r="BD106" s="44" t="str">
        <f t="shared" si="41"/>
        <v>Totex variant allowances allocation percentages</v>
      </c>
    </row>
    <row r="107" spans="3:56">
      <c r="E107" s="195" t="str" cm="1">
        <f t="array" ref="E107">INDEX($E$81:$E$96,INT((ROW()-ROW($E$99))/2)+1)</f>
        <v>Digitalisation Re-opener</v>
      </c>
      <c r="F107" s="196"/>
      <c r="G107" s="196" t="s">
        <v>33</v>
      </c>
      <c r="H107" s="196" t="s">
        <v>275</v>
      </c>
      <c r="I107" s="196"/>
      <c r="J107" s="196"/>
      <c r="K107" s="196"/>
      <c r="L107" s="196"/>
      <c r="M107" s="196"/>
      <c r="N107" s="196"/>
      <c r="O107" s="196"/>
      <c r="P107" s="196"/>
      <c r="Q107" s="196"/>
      <c r="R107" s="196"/>
      <c r="S107" s="196"/>
      <c r="T107" s="196"/>
      <c r="U107" s="196"/>
      <c r="V107" s="196"/>
      <c r="W107" s="196"/>
      <c r="X107" s="196"/>
      <c r="Y107" s="196"/>
      <c r="Z107" s="196"/>
      <c r="AA107" s="196"/>
      <c r="AB107" s="196"/>
      <c r="AC107" s="196"/>
      <c r="AD107" s="196"/>
      <c r="AE107" s="196"/>
      <c r="AF107" s="196"/>
      <c r="AG107" s="196"/>
      <c r="AH107" s="196"/>
      <c r="AI107" s="196"/>
      <c r="AJ107" s="196"/>
      <c r="AK107" s="196"/>
      <c r="AL107" s="196"/>
      <c r="AM107" s="196"/>
      <c r="AN107" s="196"/>
      <c r="AO107" s="196"/>
      <c r="AP107" s="196"/>
      <c r="AQ107" s="196"/>
      <c r="AR107" s="196"/>
      <c r="AS107" s="196"/>
      <c r="AT107" s="197"/>
      <c r="AU107" s="198">
        <v>0</v>
      </c>
      <c r="AV107" s="199">
        <v>0</v>
      </c>
      <c r="AW107" s="199">
        <v>0</v>
      </c>
      <c r="AX107" s="199">
        <v>0</v>
      </c>
      <c r="AY107" s="200">
        <v>0</v>
      </c>
      <c r="BA107" s="44" t="str">
        <f t="shared" ca="1" si="18"/>
        <v>NGT_SO</v>
      </c>
      <c r="BB107" s="44" t="str">
        <f t="shared" si="39"/>
        <v>Fixed Inputs</v>
      </c>
      <c r="BC107" s="44" t="str">
        <f t="shared" si="40"/>
        <v>Variant allowances</v>
      </c>
      <c r="BD107" s="44" t="str">
        <f t="shared" si="41"/>
        <v>Totex variant allowances allocation percentages</v>
      </c>
    </row>
    <row r="108" spans="3:56">
      <c r="E108" s="201" t="str" cm="1">
        <f t="array" ref="E108">INDEX($E$81:$E$96,INT((ROW()-ROW($E$99))/2)+1)</f>
        <v>Digitalisation Re-opener</v>
      </c>
      <c r="F108" s="202"/>
      <c r="G108" s="202" t="s">
        <v>33</v>
      </c>
      <c r="H108" s="202" t="s">
        <v>279</v>
      </c>
      <c r="I108" s="202"/>
      <c r="J108" s="202"/>
      <c r="K108" s="202"/>
      <c r="L108" s="202"/>
      <c r="M108" s="202"/>
      <c r="N108" s="202"/>
      <c r="O108" s="202"/>
      <c r="P108" s="202"/>
      <c r="Q108" s="202"/>
      <c r="R108" s="202"/>
      <c r="S108" s="202"/>
      <c r="T108" s="202"/>
      <c r="U108" s="202"/>
      <c r="V108" s="202"/>
      <c r="W108" s="202"/>
      <c r="X108" s="202"/>
      <c r="Y108" s="202"/>
      <c r="Z108" s="202"/>
      <c r="AA108" s="202"/>
      <c r="AB108" s="202"/>
      <c r="AC108" s="202"/>
      <c r="AD108" s="202"/>
      <c r="AE108" s="202"/>
      <c r="AF108" s="202"/>
      <c r="AG108" s="202"/>
      <c r="AH108" s="202"/>
      <c r="AI108" s="202"/>
      <c r="AJ108" s="202"/>
      <c r="AK108" s="202"/>
      <c r="AL108" s="202"/>
      <c r="AM108" s="202"/>
      <c r="AN108" s="202"/>
      <c r="AO108" s="202"/>
      <c r="AP108" s="202"/>
      <c r="AQ108" s="202"/>
      <c r="AR108" s="202"/>
      <c r="AS108" s="202"/>
      <c r="AT108" s="203"/>
      <c r="AU108" s="204">
        <v>0</v>
      </c>
      <c r="AV108" s="205">
        <v>0</v>
      </c>
      <c r="AW108" s="205">
        <v>0</v>
      </c>
      <c r="AX108" s="205">
        <v>0</v>
      </c>
      <c r="AY108" s="206">
        <v>0</v>
      </c>
      <c r="BA108" s="44" t="str">
        <f t="shared" ca="1" si="18"/>
        <v>NGT_SO</v>
      </c>
      <c r="BB108" s="44" t="str">
        <f t="shared" si="39"/>
        <v>Fixed Inputs</v>
      </c>
      <c r="BC108" s="44" t="str">
        <f t="shared" si="40"/>
        <v>Variant allowances</v>
      </c>
      <c r="BD108" s="44" t="str">
        <f t="shared" si="41"/>
        <v>Totex variant allowances allocation percentages</v>
      </c>
    </row>
    <row r="109" spans="3:56">
      <c r="E109" s="212" t="str" cm="1">
        <f t="array" ref="E109">INDEX($E$81:$E$96,INT((ROW()-ROW($E$99))/2)+1)</f>
        <v>Funded Incremental Obligated Capacity Price Control Deliverable</v>
      </c>
      <c r="G109" s="43" t="s">
        <v>33</v>
      </c>
      <c r="H109" s="43" t="s">
        <v>275</v>
      </c>
      <c r="AU109" s="207">
        <v>0</v>
      </c>
      <c r="AV109" s="208">
        <v>0</v>
      </c>
      <c r="AW109" s="208">
        <v>0</v>
      </c>
      <c r="AX109" s="208">
        <v>0</v>
      </c>
      <c r="AY109" s="208">
        <v>0</v>
      </c>
      <c r="BA109" s="44" t="str">
        <f t="shared" ca="1" si="18"/>
        <v>NGT_SO</v>
      </c>
      <c r="BB109" s="44" t="str">
        <f t="shared" si="39"/>
        <v>Fixed Inputs</v>
      </c>
      <c r="BC109" s="44" t="str">
        <f t="shared" si="40"/>
        <v>Variant allowances</v>
      </c>
      <c r="BD109" s="44" t="str">
        <f t="shared" si="41"/>
        <v>Totex variant allowances allocation percentages</v>
      </c>
    </row>
    <row r="110" spans="3:56">
      <c r="E110" s="201" t="str" cm="1">
        <f t="array" ref="E110">INDEX($E$81:$E$96,INT((ROW()-ROW($E$99))/2)+1)</f>
        <v>Funded Incremental Obligated Capacity Price Control Deliverable</v>
      </c>
      <c r="F110" s="202"/>
      <c r="G110" s="202" t="s">
        <v>33</v>
      </c>
      <c r="H110" s="202" t="s">
        <v>279</v>
      </c>
      <c r="I110" s="202"/>
      <c r="J110" s="202"/>
      <c r="K110" s="202"/>
      <c r="L110" s="202"/>
      <c r="M110" s="202"/>
      <c r="N110" s="202"/>
      <c r="O110" s="202"/>
      <c r="P110" s="202"/>
      <c r="Q110" s="202"/>
      <c r="R110" s="202"/>
      <c r="S110" s="202"/>
      <c r="T110" s="202"/>
      <c r="U110" s="202"/>
      <c r="V110" s="202"/>
      <c r="W110" s="202"/>
      <c r="X110" s="202"/>
      <c r="Y110" s="202"/>
      <c r="Z110" s="202"/>
      <c r="AA110" s="202"/>
      <c r="AB110" s="202"/>
      <c r="AC110" s="202"/>
      <c r="AD110" s="202"/>
      <c r="AE110" s="202"/>
      <c r="AF110" s="202"/>
      <c r="AG110" s="202"/>
      <c r="AH110" s="202"/>
      <c r="AI110" s="202"/>
      <c r="AJ110" s="202"/>
      <c r="AK110" s="202"/>
      <c r="AL110" s="202"/>
      <c r="AM110" s="202"/>
      <c r="AN110" s="202"/>
      <c r="AO110" s="202"/>
      <c r="AP110" s="202"/>
      <c r="AQ110" s="202"/>
      <c r="AR110" s="202"/>
      <c r="AS110" s="202"/>
      <c r="AT110" s="203"/>
      <c r="AU110" s="165">
        <v>0</v>
      </c>
      <c r="AV110" s="32">
        <v>0</v>
      </c>
      <c r="AW110" s="32">
        <v>0</v>
      </c>
      <c r="AX110" s="32">
        <v>0</v>
      </c>
      <c r="AY110" s="32">
        <v>0</v>
      </c>
      <c r="BA110" s="44" t="str">
        <f t="shared" ca="1" si="18"/>
        <v>NGT_SO</v>
      </c>
      <c r="BB110" s="44" t="str">
        <f t="shared" si="39"/>
        <v>Fixed Inputs</v>
      </c>
      <c r="BC110" s="44" t="str">
        <f t="shared" si="40"/>
        <v>Variant allowances</v>
      </c>
      <c r="BD110" s="44" t="str">
        <f t="shared" si="41"/>
        <v>Totex variant allowances allocation percentages</v>
      </c>
    </row>
    <row r="111" spans="3:56">
      <c r="E111" s="195" t="str" cm="1">
        <f t="array" ref="E111">INDEX($E$81:$E$96,INT((ROW()-ROW($E$99))/2)+1)</f>
        <v>Funded Incremental Obligated Capacity Price Control Deliverable -Re-Opener Element</v>
      </c>
      <c r="F111" s="196"/>
      <c r="G111" s="196" t="s">
        <v>33</v>
      </c>
      <c r="H111" s="196" t="s">
        <v>275</v>
      </c>
      <c r="I111" s="196"/>
      <c r="J111" s="196"/>
      <c r="K111" s="196"/>
      <c r="L111" s="196"/>
      <c r="M111" s="196"/>
      <c r="N111" s="196"/>
      <c r="O111" s="196"/>
      <c r="P111" s="196"/>
      <c r="Q111" s="196"/>
      <c r="R111" s="196"/>
      <c r="S111" s="196"/>
      <c r="T111" s="196"/>
      <c r="U111" s="196"/>
      <c r="V111" s="196"/>
      <c r="W111" s="196"/>
      <c r="X111" s="196"/>
      <c r="Y111" s="196"/>
      <c r="Z111" s="196"/>
      <c r="AA111" s="196"/>
      <c r="AB111" s="196"/>
      <c r="AC111" s="196"/>
      <c r="AD111" s="196"/>
      <c r="AE111" s="196"/>
      <c r="AF111" s="196"/>
      <c r="AG111" s="196"/>
      <c r="AH111" s="196"/>
      <c r="AI111" s="196"/>
      <c r="AJ111" s="196"/>
      <c r="AK111" s="196"/>
      <c r="AL111" s="196"/>
      <c r="AM111" s="196"/>
      <c r="AN111" s="196"/>
      <c r="AO111" s="196"/>
      <c r="AP111" s="196"/>
      <c r="AQ111" s="196"/>
      <c r="AR111" s="196"/>
      <c r="AS111" s="196"/>
      <c r="AT111" s="197"/>
      <c r="AU111" s="198">
        <v>0</v>
      </c>
      <c r="AV111" s="199">
        <v>0</v>
      </c>
      <c r="AW111" s="199">
        <v>0</v>
      </c>
      <c r="AX111" s="199">
        <v>0</v>
      </c>
      <c r="AY111" s="200">
        <v>0</v>
      </c>
      <c r="BA111" s="44" t="str">
        <f t="shared" ca="1" si="18"/>
        <v>NGT_SO</v>
      </c>
      <c r="BB111" s="44" t="str">
        <f t="shared" si="39"/>
        <v>Fixed Inputs</v>
      </c>
      <c r="BC111" s="44" t="str">
        <f t="shared" si="40"/>
        <v>Variant allowances</v>
      </c>
      <c r="BD111" s="44" t="str">
        <f t="shared" si="41"/>
        <v>Totex variant allowances allocation percentages</v>
      </c>
    </row>
    <row r="112" spans="3:56">
      <c r="E112" s="201" t="str" cm="1">
        <f t="array" ref="E112">INDEX($E$81:$E$96,INT((ROW()-ROW($E$99))/2)+1)</f>
        <v>Funded Incremental Obligated Capacity Price Control Deliverable -Re-Opener Element</v>
      </c>
      <c r="F112" s="202"/>
      <c r="G112" s="202" t="s">
        <v>33</v>
      </c>
      <c r="H112" s="202" t="s">
        <v>279</v>
      </c>
      <c r="I112" s="202"/>
      <c r="J112" s="202"/>
      <c r="K112" s="202"/>
      <c r="L112" s="202"/>
      <c r="M112" s="202"/>
      <c r="N112" s="202"/>
      <c r="O112" s="202"/>
      <c r="P112" s="202"/>
      <c r="Q112" s="202"/>
      <c r="R112" s="202"/>
      <c r="S112" s="202"/>
      <c r="T112" s="202"/>
      <c r="U112" s="202"/>
      <c r="V112" s="202"/>
      <c r="W112" s="202"/>
      <c r="X112" s="202"/>
      <c r="Y112" s="202"/>
      <c r="Z112" s="202"/>
      <c r="AA112" s="202"/>
      <c r="AB112" s="202"/>
      <c r="AC112" s="202"/>
      <c r="AD112" s="202"/>
      <c r="AE112" s="202"/>
      <c r="AF112" s="202"/>
      <c r="AG112" s="202"/>
      <c r="AH112" s="202"/>
      <c r="AI112" s="202"/>
      <c r="AJ112" s="202"/>
      <c r="AK112" s="202"/>
      <c r="AL112" s="202"/>
      <c r="AM112" s="202"/>
      <c r="AN112" s="202"/>
      <c r="AO112" s="202"/>
      <c r="AP112" s="202"/>
      <c r="AQ112" s="202"/>
      <c r="AR112" s="202"/>
      <c r="AS112" s="202"/>
      <c r="AT112" s="203"/>
      <c r="AU112" s="204">
        <v>0</v>
      </c>
      <c r="AV112" s="205">
        <v>0</v>
      </c>
      <c r="AW112" s="205">
        <v>0</v>
      </c>
      <c r="AX112" s="205">
        <v>0</v>
      </c>
      <c r="AY112" s="206">
        <v>0</v>
      </c>
      <c r="BA112" s="44" t="str">
        <f t="shared" ca="1" si="18"/>
        <v>NGT_SO</v>
      </c>
      <c r="BB112" s="44" t="str">
        <f t="shared" si="39"/>
        <v>Fixed Inputs</v>
      </c>
      <c r="BC112" s="44" t="str">
        <f t="shared" si="40"/>
        <v>Variant allowances</v>
      </c>
      <c r="BD112" s="44" t="str">
        <f t="shared" si="41"/>
        <v>Totex variant allowances allocation percentages</v>
      </c>
    </row>
    <row r="113" spans="5:56">
      <c r="E113" s="195" t="str" cm="1">
        <f t="array" ref="E113">INDEX($E$81:$E$96,INT((ROW()-ROW($E$99))/2)+1)</f>
        <v xml:space="preserve">Office, gas national control centre and emergency control room relocation Re-opener </v>
      </c>
      <c r="F113" s="196"/>
      <c r="G113" s="196" t="s">
        <v>33</v>
      </c>
      <c r="H113" s="196" t="s">
        <v>275</v>
      </c>
      <c r="I113" s="196"/>
      <c r="J113" s="196"/>
      <c r="K113" s="196"/>
      <c r="L113" s="196"/>
      <c r="M113" s="196"/>
      <c r="N113" s="196"/>
      <c r="O113" s="196"/>
      <c r="P113" s="196"/>
      <c r="Q113" s="196"/>
      <c r="R113" s="196"/>
      <c r="S113" s="196"/>
      <c r="T113" s="196"/>
      <c r="U113" s="196"/>
      <c r="V113" s="196"/>
      <c r="W113" s="196"/>
      <c r="X113" s="196"/>
      <c r="Y113" s="196"/>
      <c r="Z113" s="196"/>
      <c r="AA113" s="196"/>
      <c r="AB113" s="196"/>
      <c r="AC113" s="196"/>
      <c r="AD113" s="196"/>
      <c r="AE113" s="196"/>
      <c r="AF113" s="196"/>
      <c r="AG113" s="196"/>
      <c r="AH113" s="196"/>
      <c r="AI113" s="196"/>
      <c r="AJ113" s="196"/>
      <c r="AK113" s="196"/>
      <c r="AL113" s="196"/>
      <c r="AM113" s="196"/>
      <c r="AN113" s="196"/>
      <c r="AO113" s="196"/>
      <c r="AP113" s="196"/>
      <c r="AQ113" s="196"/>
      <c r="AR113" s="196"/>
      <c r="AS113" s="196"/>
      <c r="AT113" s="197"/>
      <c r="AU113" s="198">
        <v>1</v>
      </c>
      <c r="AV113" s="199">
        <v>1</v>
      </c>
      <c r="AW113" s="199">
        <v>0.98761166238074205</v>
      </c>
      <c r="AX113" s="199">
        <v>0.65655674699725997</v>
      </c>
      <c r="AY113" s="199">
        <v>0.14489659464143473</v>
      </c>
      <c r="BA113" s="44" t="str">
        <f t="shared" ca="1" si="18"/>
        <v>NGT_SO</v>
      </c>
      <c r="BB113" s="44" t="str">
        <f t="shared" si="39"/>
        <v>Fixed Inputs</v>
      </c>
      <c r="BC113" s="44" t="str">
        <f t="shared" si="40"/>
        <v>Variant allowances</v>
      </c>
      <c r="BD113" s="44" t="str">
        <f t="shared" si="41"/>
        <v>Totex variant allowances allocation percentages</v>
      </c>
    </row>
    <row r="114" spans="5:56">
      <c r="E114" s="201" t="str" cm="1">
        <f t="array" ref="E114">INDEX($E$81:$E$96,INT((ROW()-ROW($E$99))/2)+1)</f>
        <v xml:space="preserve">Office, gas national control centre and emergency control room relocation Re-opener </v>
      </c>
      <c r="F114" s="202"/>
      <c r="G114" s="202" t="s">
        <v>33</v>
      </c>
      <c r="H114" s="202" t="s">
        <v>279</v>
      </c>
      <c r="I114" s="202"/>
      <c r="J114" s="202"/>
      <c r="K114" s="202"/>
      <c r="L114" s="202"/>
      <c r="M114" s="202"/>
      <c r="N114" s="202"/>
      <c r="O114" s="202"/>
      <c r="P114" s="202"/>
      <c r="Q114" s="202"/>
      <c r="R114" s="202"/>
      <c r="S114" s="202"/>
      <c r="T114" s="202"/>
      <c r="U114" s="202"/>
      <c r="V114" s="202"/>
      <c r="W114" s="202"/>
      <c r="X114" s="202"/>
      <c r="Y114" s="202"/>
      <c r="Z114" s="202"/>
      <c r="AA114" s="202"/>
      <c r="AB114" s="202"/>
      <c r="AC114" s="202"/>
      <c r="AD114" s="202"/>
      <c r="AE114" s="202"/>
      <c r="AF114" s="202"/>
      <c r="AG114" s="202"/>
      <c r="AH114" s="202"/>
      <c r="AI114" s="202"/>
      <c r="AJ114" s="202"/>
      <c r="AK114" s="202"/>
      <c r="AL114" s="202"/>
      <c r="AM114" s="202"/>
      <c r="AN114" s="202"/>
      <c r="AO114" s="202"/>
      <c r="AP114" s="202"/>
      <c r="AQ114" s="202"/>
      <c r="AR114" s="202"/>
      <c r="AS114" s="202"/>
      <c r="AT114" s="203"/>
      <c r="AU114" s="204">
        <v>0</v>
      </c>
      <c r="AV114" s="205">
        <v>0</v>
      </c>
      <c r="AW114" s="205">
        <v>1.2388337619257872E-2</v>
      </c>
      <c r="AX114" s="205">
        <v>0.34344325300273998</v>
      </c>
      <c r="AY114" s="205">
        <v>0.85510340535856522</v>
      </c>
      <c r="BA114" s="44" t="str">
        <f t="shared" ca="1" si="18"/>
        <v>NGT_SO</v>
      </c>
      <c r="BB114" s="44" t="str">
        <f t="shared" si="39"/>
        <v>Fixed Inputs</v>
      </c>
      <c r="BC114" s="44" t="str">
        <f t="shared" si="40"/>
        <v>Variant allowances</v>
      </c>
      <c r="BD114" s="44" t="str">
        <f t="shared" si="41"/>
        <v>Totex variant allowances allocation percentages</v>
      </c>
    </row>
    <row r="115" spans="5:56">
      <c r="E115" s="195" t="str" cm="1">
        <f t="array" ref="E115">INDEX($E$81:$E$96,INT((ROW()-ROW($E$99))/2)+1)</f>
        <v>Network decarbonisation and emissions compliance Re-opener</v>
      </c>
      <c r="F115" s="196"/>
      <c r="G115" s="196" t="s">
        <v>33</v>
      </c>
      <c r="H115" s="196" t="s">
        <v>275</v>
      </c>
      <c r="I115" s="196"/>
      <c r="J115" s="196"/>
      <c r="K115" s="196"/>
      <c r="L115" s="196"/>
      <c r="M115" s="196"/>
      <c r="N115" s="196"/>
      <c r="O115" s="196"/>
      <c r="P115" s="196"/>
      <c r="Q115" s="196"/>
      <c r="R115" s="196"/>
      <c r="S115" s="196"/>
      <c r="T115" s="196"/>
      <c r="U115" s="196"/>
      <c r="V115" s="196"/>
      <c r="W115" s="196"/>
      <c r="X115" s="196"/>
      <c r="Y115" s="196"/>
      <c r="Z115" s="196"/>
      <c r="AA115" s="196"/>
      <c r="AB115" s="196"/>
      <c r="AC115" s="196"/>
      <c r="AD115" s="196"/>
      <c r="AE115" s="196"/>
      <c r="AF115" s="196"/>
      <c r="AG115" s="196"/>
      <c r="AH115" s="196"/>
      <c r="AI115" s="196"/>
      <c r="AJ115" s="196"/>
      <c r="AK115" s="196"/>
      <c r="AL115" s="196"/>
      <c r="AM115" s="196"/>
      <c r="AN115" s="196"/>
      <c r="AO115" s="196"/>
      <c r="AP115" s="196"/>
      <c r="AQ115" s="196"/>
      <c r="AR115" s="196"/>
      <c r="AS115" s="196"/>
      <c r="AT115" s="197"/>
      <c r="AU115" s="198">
        <v>0</v>
      </c>
      <c r="AV115" s="199">
        <v>0</v>
      </c>
      <c r="AW115" s="199">
        <v>0</v>
      </c>
      <c r="AX115" s="199">
        <v>0</v>
      </c>
      <c r="AY115" s="200">
        <v>0</v>
      </c>
      <c r="BA115" s="44" t="str">
        <f t="shared" ca="1" si="18"/>
        <v>NGT_SO</v>
      </c>
      <c r="BB115" s="44" t="str">
        <f t="shared" si="39"/>
        <v>Fixed Inputs</v>
      </c>
      <c r="BC115" s="44" t="str">
        <f t="shared" si="40"/>
        <v>Variant allowances</v>
      </c>
      <c r="BD115" s="44" t="str">
        <f t="shared" si="41"/>
        <v>Totex variant allowances allocation percentages</v>
      </c>
    </row>
    <row r="116" spans="5:56">
      <c r="E116" s="212" t="str" cm="1">
        <f t="array" ref="E116">INDEX($E$81:$E$96,INT((ROW()-ROW($E$99))/2)+1)</f>
        <v>Network decarbonisation and emissions compliance Re-opener</v>
      </c>
      <c r="G116" s="43" t="s">
        <v>33</v>
      </c>
      <c r="H116" s="43" t="s">
        <v>279</v>
      </c>
      <c r="AU116" s="255">
        <v>0</v>
      </c>
      <c r="AV116" s="250">
        <v>0</v>
      </c>
      <c r="AW116" s="250">
        <v>0</v>
      </c>
      <c r="AX116" s="250">
        <v>0</v>
      </c>
      <c r="AY116" s="251">
        <v>0</v>
      </c>
      <c r="BA116" s="44" t="str">
        <f t="shared" ca="1" si="18"/>
        <v>NGT_SO</v>
      </c>
      <c r="BB116" s="44" t="str">
        <f t="shared" si="39"/>
        <v>Fixed Inputs</v>
      </c>
      <c r="BC116" s="44" t="str">
        <f t="shared" si="40"/>
        <v>Variant allowances</v>
      </c>
      <c r="BD116" s="44" t="str">
        <f t="shared" si="41"/>
        <v>Totex variant allowances allocation percentages</v>
      </c>
    </row>
    <row r="117" spans="5:56">
      <c r="E117" s="195" t="str" cm="1">
        <f t="array" ref="E117">INDEX($E$81:$E$96,INT((ROW()-ROW($E$99))/2)+1)</f>
        <v>Spare 1</v>
      </c>
      <c r="F117" s="196"/>
      <c r="G117" s="196" t="s">
        <v>33</v>
      </c>
      <c r="H117" s="196" t="s">
        <v>275</v>
      </c>
      <c r="I117" s="196"/>
      <c r="J117" s="196"/>
      <c r="K117" s="196"/>
      <c r="L117" s="196"/>
      <c r="M117" s="196"/>
      <c r="N117" s="196"/>
      <c r="O117" s="196"/>
      <c r="P117" s="196"/>
      <c r="Q117" s="196"/>
      <c r="R117" s="196"/>
      <c r="S117" s="196"/>
      <c r="T117" s="196"/>
      <c r="U117" s="196"/>
      <c r="V117" s="196"/>
      <c r="W117" s="196"/>
      <c r="X117" s="196"/>
      <c r="Y117" s="196"/>
      <c r="Z117" s="196"/>
      <c r="AA117" s="196"/>
      <c r="AB117" s="196"/>
      <c r="AC117" s="196"/>
      <c r="AD117" s="196"/>
      <c r="AE117" s="196"/>
      <c r="AF117" s="196"/>
      <c r="AG117" s="196"/>
      <c r="AH117" s="196"/>
      <c r="AI117" s="196"/>
      <c r="AJ117" s="196"/>
      <c r="AK117" s="196"/>
      <c r="AL117" s="196"/>
      <c r="AM117" s="196"/>
      <c r="AN117" s="196"/>
      <c r="AO117" s="196"/>
      <c r="AP117" s="196"/>
      <c r="AQ117" s="196"/>
      <c r="AR117" s="196"/>
      <c r="AS117" s="196"/>
      <c r="AT117" s="197"/>
      <c r="AU117" s="209"/>
      <c r="AV117" s="210"/>
      <c r="AW117" s="210"/>
      <c r="AX117" s="210"/>
      <c r="AY117" s="211"/>
      <c r="BA117" s="44" t="str">
        <f t="shared" ca="1" si="18"/>
        <v>NGT_SO</v>
      </c>
      <c r="BB117" s="44" t="str">
        <f t="shared" si="39"/>
        <v>Fixed Inputs</v>
      </c>
      <c r="BC117" s="44" t="str">
        <f t="shared" si="40"/>
        <v>Variant allowances</v>
      </c>
      <c r="BD117" s="44" t="str">
        <f t="shared" si="41"/>
        <v>Totex variant allowances allocation percentages</v>
      </c>
    </row>
    <row r="118" spans="5:56">
      <c r="E118" s="201" t="str" cm="1">
        <f t="array" ref="E118">INDEX($E$81:$E$96,INT((ROW()-ROW($E$99))/2)+1)</f>
        <v>Spare 1</v>
      </c>
      <c r="F118" s="202"/>
      <c r="G118" s="202" t="s">
        <v>33</v>
      </c>
      <c r="H118" s="202" t="s">
        <v>279</v>
      </c>
      <c r="I118" s="202"/>
      <c r="J118" s="202"/>
      <c r="K118" s="202"/>
      <c r="L118" s="202"/>
      <c r="M118" s="202"/>
      <c r="N118" s="202"/>
      <c r="O118" s="202"/>
      <c r="P118" s="202"/>
      <c r="Q118" s="202"/>
      <c r="R118" s="202"/>
      <c r="S118" s="202"/>
      <c r="T118" s="202"/>
      <c r="U118" s="202"/>
      <c r="V118" s="202"/>
      <c r="W118" s="202"/>
      <c r="X118" s="202"/>
      <c r="Y118" s="202"/>
      <c r="Z118" s="202"/>
      <c r="AA118" s="202"/>
      <c r="AB118" s="202"/>
      <c r="AC118" s="202"/>
      <c r="AD118" s="202"/>
      <c r="AE118" s="202"/>
      <c r="AF118" s="202"/>
      <c r="AG118" s="202"/>
      <c r="AH118" s="202"/>
      <c r="AI118" s="202"/>
      <c r="AJ118" s="202"/>
      <c r="AK118" s="202"/>
      <c r="AL118" s="202"/>
      <c r="AM118" s="202"/>
      <c r="AN118" s="202"/>
      <c r="AO118" s="202"/>
      <c r="AP118" s="202"/>
      <c r="AQ118" s="202"/>
      <c r="AR118" s="202"/>
      <c r="AS118" s="202"/>
      <c r="AT118" s="203"/>
      <c r="AU118" s="214"/>
      <c r="AV118" s="215"/>
      <c r="AW118" s="215"/>
      <c r="AX118" s="215"/>
      <c r="AY118" s="216"/>
      <c r="BA118" s="44" t="str">
        <f t="shared" ca="1" si="18"/>
        <v>NGT_SO</v>
      </c>
      <c r="BB118" s="44" t="str">
        <f t="shared" si="39"/>
        <v>Fixed Inputs</v>
      </c>
      <c r="BC118" s="44" t="str">
        <f t="shared" si="40"/>
        <v>Variant allowances</v>
      </c>
      <c r="BD118" s="44" t="str">
        <f t="shared" si="41"/>
        <v>Totex variant allowances allocation percentages</v>
      </c>
    </row>
    <row r="119" spans="5:56">
      <c r="E119" s="212" t="str" cm="1">
        <f t="array" ref="E119">INDEX($E$81:$E$96,INT((ROW()-ROW($E$99))/2)+1)</f>
        <v>Spare 2</v>
      </c>
      <c r="G119" s="43" t="s">
        <v>33</v>
      </c>
      <c r="H119" s="43" t="s">
        <v>275</v>
      </c>
      <c r="AU119" s="207"/>
      <c r="AV119" s="208"/>
      <c r="AW119" s="208"/>
      <c r="AX119" s="208"/>
      <c r="AY119" s="208"/>
      <c r="BA119" s="44" t="str">
        <f t="shared" ca="1" si="18"/>
        <v>NGT_SO</v>
      </c>
      <c r="BB119" s="44" t="str">
        <f t="shared" si="39"/>
        <v>Fixed Inputs</v>
      </c>
      <c r="BC119" s="44" t="str">
        <f t="shared" si="40"/>
        <v>Variant allowances</v>
      </c>
      <c r="BD119" s="44" t="str">
        <f t="shared" si="41"/>
        <v>Totex variant allowances allocation percentages</v>
      </c>
    </row>
    <row r="120" spans="5:56">
      <c r="E120" s="201" t="str" cm="1">
        <f t="array" ref="E120">INDEX($E$81:$E$96,INT((ROW()-ROW($E$99))/2)+1)</f>
        <v>Spare 2</v>
      </c>
      <c r="F120" s="202"/>
      <c r="G120" s="202" t="s">
        <v>33</v>
      </c>
      <c r="H120" s="202" t="s">
        <v>279</v>
      </c>
      <c r="I120" s="202"/>
      <c r="J120" s="202"/>
      <c r="K120" s="202"/>
      <c r="L120" s="202"/>
      <c r="M120" s="202"/>
      <c r="N120" s="202"/>
      <c r="O120" s="202"/>
      <c r="P120" s="202"/>
      <c r="Q120" s="202"/>
      <c r="R120" s="202"/>
      <c r="S120" s="202"/>
      <c r="T120" s="202"/>
      <c r="U120" s="202"/>
      <c r="V120" s="202"/>
      <c r="W120" s="202"/>
      <c r="X120" s="202"/>
      <c r="Y120" s="202"/>
      <c r="Z120" s="202"/>
      <c r="AA120" s="202"/>
      <c r="AB120" s="202"/>
      <c r="AC120" s="202"/>
      <c r="AD120" s="202"/>
      <c r="AE120" s="202"/>
      <c r="AF120" s="202"/>
      <c r="AG120" s="202"/>
      <c r="AH120" s="202"/>
      <c r="AI120" s="202"/>
      <c r="AJ120" s="202"/>
      <c r="AK120" s="202"/>
      <c r="AL120" s="202"/>
      <c r="AM120" s="202"/>
      <c r="AN120" s="202"/>
      <c r="AO120" s="202"/>
      <c r="AP120" s="202"/>
      <c r="AQ120" s="202"/>
      <c r="AR120" s="202"/>
      <c r="AS120" s="202"/>
      <c r="AT120" s="203"/>
      <c r="AU120" s="165"/>
      <c r="AV120" s="32"/>
      <c r="AW120" s="32"/>
      <c r="AX120" s="32"/>
      <c r="AY120" s="32"/>
      <c r="BA120" s="44" t="str">
        <f t="shared" ca="1" si="18"/>
        <v>NGT_SO</v>
      </c>
      <c r="BB120" s="44" t="str">
        <f t="shared" si="39"/>
        <v>Fixed Inputs</v>
      </c>
      <c r="BC120" s="44" t="str">
        <f t="shared" si="40"/>
        <v>Variant allowances</v>
      </c>
      <c r="BD120" s="44" t="str">
        <f t="shared" si="41"/>
        <v>Totex variant allowances allocation percentages</v>
      </c>
    </row>
    <row r="121" spans="5:56">
      <c r="E121" s="195" t="str" cm="1">
        <f t="array" ref="E121">INDEX($E$81:$E$96,INT((ROW()-ROW($E$99))/2)+1)</f>
        <v>Spare 3</v>
      </c>
      <c r="F121" s="196"/>
      <c r="G121" s="196" t="s">
        <v>33</v>
      </c>
      <c r="H121" s="196" t="s">
        <v>275</v>
      </c>
      <c r="I121" s="196"/>
      <c r="J121" s="196"/>
      <c r="K121" s="196"/>
      <c r="L121" s="196"/>
      <c r="M121" s="196"/>
      <c r="N121" s="196"/>
      <c r="O121" s="196"/>
      <c r="P121" s="196"/>
      <c r="Q121" s="196"/>
      <c r="R121" s="196"/>
      <c r="S121" s="196"/>
      <c r="T121" s="196"/>
      <c r="U121" s="196"/>
      <c r="V121" s="196"/>
      <c r="W121" s="196"/>
      <c r="X121" s="196"/>
      <c r="Y121" s="196"/>
      <c r="Z121" s="196"/>
      <c r="AA121" s="196"/>
      <c r="AB121" s="196"/>
      <c r="AC121" s="196"/>
      <c r="AD121" s="196"/>
      <c r="AE121" s="196"/>
      <c r="AF121" s="196"/>
      <c r="AG121" s="196"/>
      <c r="AH121" s="196"/>
      <c r="AI121" s="196"/>
      <c r="AJ121" s="196"/>
      <c r="AK121" s="196"/>
      <c r="AL121" s="196"/>
      <c r="AM121" s="196"/>
      <c r="AN121" s="196"/>
      <c r="AO121" s="196"/>
      <c r="AP121" s="196"/>
      <c r="AQ121" s="196"/>
      <c r="AR121" s="196"/>
      <c r="AS121" s="196"/>
      <c r="AT121" s="197"/>
      <c r="AU121" s="165"/>
      <c r="AV121" s="32"/>
      <c r="AW121" s="32"/>
      <c r="AX121" s="32"/>
      <c r="AY121" s="32"/>
      <c r="BA121" s="44" t="str">
        <f t="shared" ca="1" si="18"/>
        <v>NGT_SO</v>
      </c>
      <c r="BB121" s="44" t="str">
        <f t="shared" si="39"/>
        <v>Fixed Inputs</v>
      </c>
      <c r="BC121" s="44" t="str">
        <f t="shared" si="40"/>
        <v>Variant allowances</v>
      </c>
      <c r="BD121" s="44" t="str">
        <f t="shared" si="41"/>
        <v>Totex variant allowances allocation percentages</v>
      </c>
    </row>
    <row r="122" spans="5:56">
      <c r="E122" s="201" t="str" cm="1">
        <f t="array" ref="E122">INDEX($E$81:$E$96,INT((ROW()-ROW($E$99))/2)+1)</f>
        <v>Spare 3</v>
      </c>
      <c r="F122" s="202"/>
      <c r="G122" s="202" t="s">
        <v>33</v>
      </c>
      <c r="H122" s="202" t="s">
        <v>279</v>
      </c>
      <c r="I122" s="202"/>
      <c r="J122" s="202"/>
      <c r="K122" s="202"/>
      <c r="L122" s="202"/>
      <c r="M122" s="202"/>
      <c r="N122" s="202"/>
      <c r="O122" s="202"/>
      <c r="P122" s="202"/>
      <c r="Q122" s="202"/>
      <c r="R122" s="202"/>
      <c r="S122" s="202"/>
      <c r="T122" s="202"/>
      <c r="U122" s="202"/>
      <c r="V122" s="202"/>
      <c r="W122" s="202"/>
      <c r="X122" s="202"/>
      <c r="Y122" s="202"/>
      <c r="Z122" s="202"/>
      <c r="AA122" s="202"/>
      <c r="AB122" s="202"/>
      <c r="AC122" s="202"/>
      <c r="AD122" s="202"/>
      <c r="AE122" s="202"/>
      <c r="AF122" s="202"/>
      <c r="AG122" s="202"/>
      <c r="AH122" s="202"/>
      <c r="AI122" s="202"/>
      <c r="AJ122" s="202"/>
      <c r="AK122" s="202"/>
      <c r="AL122" s="202"/>
      <c r="AM122" s="202"/>
      <c r="AN122" s="202"/>
      <c r="AO122" s="202"/>
      <c r="AP122" s="202"/>
      <c r="AQ122" s="202"/>
      <c r="AR122" s="202"/>
      <c r="AS122" s="202"/>
      <c r="AT122" s="203"/>
      <c r="AU122" s="165"/>
      <c r="AV122" s="32"/>
      <c r="AW122" s="32"/>
      <c r="AX122" s="32"/>
      <c r="AY122" s="32"/>
      <c r="BA122" s="44" t="str">
        <f t="shared" ca="1" si="18"/>
        <v>NGT_SO</v>
      </c>
      <c r="BB122" s="44" t="str">
        <f t="shared" si="39"/>
        <v>Fixed Inputs</v>
      </c>
      <c r="BC122" s="44" t="str">
        <f t="shared" si="40"/>
        <v>Variant allowances</v>
      </c>
      <c r="BD122" s="44" t="str">
        <f t="shared" si="41"/>
        <v>Totex variant allowances allocation percentages</v>
      </c>
    </row>
    <row r="123" spans="5:56">
      <c r="E123" s="195" t="str" cm="1">
        <f t="array" ref="E123">INDEX($E$81:$E$96,INT((ROW()-ROW($E$99))/2)+1)</f>
        <v>Spare 4</v>
      </c>
      <c r="F123" s="196"/>
      <c r="G123" s="196" t="s">
        <v>33</v>
      </c>
      <c r="H123" s="196" t="s">
        <v>275</v>
      </c>
      <c r="I123" s="196"/>
      <c r="J123" s="196"/>
      <c r="K123" s="196"/>
      <c r="L123" s="196"/>
      <c r="M123" s="196"/>
      <c r="N123" s="196"/>
      <c r="O123" s="196"/>
      <c r="P123" s="196"/>
      <c r="Q123" s="196"/>
      <c r="R123" s="196"/>
      <c r="S123" s="196"/>
      <c r="T123" s="196"/>
      <c r="U123" s="196"/>
      <c r="V123" s="196"/>
      <c r="W123" s="196"/>
      <c r="X123" s="196"/>
      <c r="Y123" s="196"/>
      <c r="Z123" s="196"/>
      <c r="AA123" s="196"/>
      <c r="AB123" s="196"/>
      <c r="AC123" s="196"/>
      <c r="AD123" s="196"/>
      <c r="AE123" s="196"/>
      <c r="AF123" s="196"/>
      <c r="AG123" s="196"/>
      <c r="AH123" s="196"/>
      <c r="AI123" s="196"/>
      <c r="AJ123" s="196"/>
      <c r="AK123" s="196"/>
      <c r="AL123" s="196"/>
      <c r="AM123" s="196"/>
      <c r="AN123" s="196"/>
      <c r="AO123" s="196"/>
      <c r="AP123" s="196"/>
      <c r="AQ123" s="196"/>
      <c r="AR123" s="196"/>
      <c r="AS123" s="196"/>
      <c r="AT123" s="197"/>
      <c r="AU123" s="165"/>
      <c r="AV123" s="32"/>
      <c r="AW123" s="32"/>
      <c r="AX123" s="32"/>
      <c r="AY123" s="32"/>
      <c r="BA123" s="44" t="str">
        <f t="shared" ca="1" si="18"/>
        <v>NGT_SO</v>
      </c>
      <c r="BB123" s="44" t="str">
        <f t="shared" si="39"/>
        <v>Fixed Inputs</v>
      </c>
      <c r="BC123" s="44" t="str">
        <f t="shared" si="40"/>
        <v>Variant allowances</v>
      </c>
      <c r="BD123" s="44" t="str">
        <f t="shared" si="41"/>
        <v>Totex variant allowances allocation percentages</v>
      </c>
    </row>
    <row r="124" spans="5:56">
      <c r="E124" s="201" t="str" cm="1">
        <f t="array" ref="E124">INDEX($E$81:$E$96,INT((ROW()-ROW($E$99))/2)+1)</f>
        <v>Spare 4</v>
      </c>
      <c r="F124" s="202"/>
      <c r="G124" s="202" t="s">
        <v>33</v>
      </c>
      <c r="H124" s="202" t="s">
        <v>279</v>
      </c>
      <c r="I124" s="202"/>
      <c r="J124" s="202"/>
      <c r="K124" s="202"/>
      <c r="L124" s="202"/>
      <c r="M124" s="202"/>
      <c r="N124" s="202"/>
      <c r="O124" s="202"/>
      <c r="P124" s="202"/>
      <c r="Q124" s="202"/>
      <c r="R124" s="202"/>
      <c r="S124" s="202"/>
      <c r="T124" s="202"/>
      <c r="U124" s="202"/>
      <c r="V124" s="202"/>
      <c r="W124" s="202"/>
      <c r="X124" s="202"/>
      <c r="Y124" s="202"/>
      <c r="Z124" s="202"/>
      <c r="AA124" s="202"/>
      <c r="AB124" s="202"/>
      <c r="AC124" s="202"/>
      <c r="AD124" s="202"/>
      <c r="AE124" s="202"/>
      <c r="AF124" s="202"/>
      <c r="AG124" s="202"/>
      <c r="AH124" s="202"/>
      <c r="AI124" s="202"/>
      <c r="AJ124" s="202"/>
      <c r="AK124" s="202"/>
      <c r="AL124" s="202"/>
      <c r="AM124" s="202"/>
      <c r="AN124" s="202"/>
      <c r="AO124" s="202"/>
      <c r="AP124" s="202"/>
      <c r="AQ124" s="202"/>
      <c r="AR124" s="202"/>
      <c r="AS124" s="202"/>
      <c r="AT124" s="203"/>
      <c r="AU124" s="165"/>
      <c r="AV124" s="32"/>
      <c r="AW124" s="32"/>
      <c r="AX124" s="32"/>
      <c r="AY124" s="32"/>
      <c r="BA124" s="44" t="str">
        <f t="shared" ca="1" si="18"/>
        <v>NGT_SO</v>
      </c>
      <c r="BB124" s="44" t="str">
        <f t="shared" si="39"/>
        <v>Fixed Inputs</v>
      </c>
      <c r="BC124" s="44" t="str">
        <f t="shared" si="40"/>
        <v>Variant allowances</v>
      </c>
      <c r="BD124" s="44" t="str">
        <f t="shared" si="41"/>
        <v>Totex variant allowances allocation percentages</v>
      </c>
    </row>
    <row r="125" spans="5:56">
      <c r="E125" s="195" t="str" cm="1">
        <f t="array" ref="E125">INDEX($E$81:$E$96,INT((ROW()-ROW($E$99))/2)+1)</f>
        <v>Spare 5</v>
      </c>
      <c r="F125" s="196"/>
      <c r="G125" s="196" t="s">
        <v>33</v>
      </c>
      <c r="H125" s="196" t="s">
        <v>275</v>
      </c>
      <c r="I125" s="196"/>
      <c r="J125" s="196"/>
      <c r="K125" s="196"/>
      <c r="L125" s="196"/>
      <c r="M125" s="196"/>
      <c r="N125" s="196"/>
      <c r="O125" s="196"/>
      <c r="P125" s="196"/>
      <c r="Q125" s="196"/>
      <c r="R125" s="196"/>
      <c r="S125" s="196"/>
      <c r="T125" s="196"/>
      <c r="U125" s="196"/>
      <c r="V125" s="196"/>
      <c r="W125" s="196"/>
      <c r="X125" s="196"/>
      <c r="Y125" s="196"/>
      <c r="Z125" s="196"/>
      <c r="AA125" s="196"/>
      <c r="AB125" s="196"/>
      <c r="AC125" s="196"/>
      <c r="AD125" s="196"/>
      <c r="AE125" s="196"/>
      <c r="AF125" s="196"/>
      <c r="AG125" s="196"/>
      <c r="AH125" s="196"/>
      <c r="AI125" s="196"/>
      <c r="AJ125" s="196"/>
      <c r="AK125" s="196"/>
      <c r="AL125" s="196"/>
      <c r="AM125" s="196"/>
      <c r="AN125" s="196"/>
      <c r="AO125" s="196"/>
      <c r="AP125" s="196"/>
      <c r="AQ125" s="196"/>
      <c r="AR125" s="196"/>
      <c r="AS125" s="196"/>
      <c r="AT125" s="197"/>
      <c r="AU125" s="165"/>
      <c r="AV125" s="32"/>
      <c r="AW125" s="32"/>
      <c r="AX125" s="32"/>
      <c r="AY125" s="32"/>
      <c r="BA125" s="44" t="str">
        <f t="shared" ca="1" si="18"/>
        <v>NGT_SO</v>
      </c>
      <c r="BB125" s="44" t="str">
        <f t="shared" si="39"/>
        <v>Fixed Inputs</v>
      </c>
      <c r="BC125" s="44" t="str">
        <f t="shared" si="40"/>
        <v>Variant allowances</v>
      </c>
      <c r="BD125" s="44" t="str">
        <f t="shared" si="41"/>
        <v>Totex variant allowances allocation percentages</v>
      </c>
    </row>
    <row r="126" spans="5:56">
      <c r="E126" s="201" t="str" cm="1">
        <f t="array" ref="E126">INDEX($E$81:$E$96,INT((ROW()-ROW($E$99))/2)+1)</f>
        <v>Spare 5</v>
      </c>
      <c r="F126" s="202"/>
      <c r="G126" s="202" t="s">
        <v>33</v>
      </c>
      <c r="H126" s="202" t="s">
        <v>279</v>
      </c>
      <c r="I126" s="202"/>
      <c r="J126" s="202"/>
      <c r="K126" s="202"/>
      <c r="L126" s="202"/>
      <c r="M126" s="202"/>
      <c r="N126" s="202"/>
      <c r="O126" s="202"/>
      <c r="P126" s="202"/>
      <c r="Q126" s="202"/>
      <c r="R126" s="202"/>
      <c r="S126" s="202"/>
      <c r="T126" s="202"/>
      <c r="U126" s="202"/>
      <c r="V126" s="202"/>
      <c r="W126" s="202"/>
      <c r="X126" s="202"/>
      <c r="Y126" s="202"/>
      <c r="Z126" s="202"/>
      <c r="AA126" s="202"/>
      <c r="AB126" s="202"/>
      <c r="AC126" s="202"/>
      <c r="AD126" s="202"/>
      <c r="AE126" s="202"/>
      <c r="AF126" s="202"/>
      <c r="AG126" s="202"/>
      <c r="AH126" s="202"/>
      <c r="AI126" s="202"/>
      <c r="AJ126" s="202"/>
      <c r="AK126" s="202"/>
      <c r="AL126" s="202"/>
      <c r="AM126" s="202"/>
      <c r="AN126" s="202"/>
      <c r="AO126" s="202"/>
      <c r="AP126" s="202"/>
      <c r="AQ126" s="202"/>
      <c r="AR126" s="202"/>
      <c r="AS126" s="202"/>
      <c r="AT126" s="203"/>
      <c r="AU126" s="165"/>
      <c r="AV126" s="32"/>
      <c r="AW126" s="32"/>
      <c r="AX126" s="32"/>
      <c r="AY126" s="32"/>
      <c r="BA126" s="44" t="str">
        <f t="shared" ca="1" si="18"/>
        <v>NGT_SO</v>
      </c>
      <c r="BB126" s="44" t="str">
        <f t="shared" si="39"/>
        <v>Fixed Inputs</v>
      </c>
      <c r="BC126" s="44" t="str">
        <f t="shared" si="40"/>
        <v>Variant allowances</v>
      </c>
      <c r="BD126" s="44" t="str">
        <f t="shared" si="41"/>
        <v>Totex variant allowances allocation percentages</v>
      </c>
    </row>
    <row r="127" spans="5:56">
      <c r="E127" s="195" t="str" cm="1">
        <f t="array" ref="E127">INDEX($E$81:$E$96,INT((ROW()-ROW($E$99))/2)+1)</f>
        <v>Spare 6</v>
      </c>
      <c r="F127" s="196"/>
      <c r="G127" s="196" t="s">
        <v>33</v>
      </c>
      <c r="H127" s="196" t="s">
        <v>275</v>
      </c>
      <c r="I127" s="196"/>
      <c r="J127" s="196"/>
      <c r="K127" s="196"/>
      <c r="L127" s="196"/>
      <c r="M127" s="196"/>
      <c r="N127" s="196"/>
      <c r="O127" s="196"/>
      <c r="P127" s="196"/>
      <c r="Q127" s="196"/>
      <c r="R127" s="196"/>
      <c r="S127" s="196"/>
      <c r="T127" s="196"/>
      <c r="U127" s="196"/>
      <c r="V127" s="196"/>
      <c r="W127" s="196"/>
      <c r="X127" s="196"/>
      <c r="Y127" s="196"/>
      <c r="Z127" s="196"/>
      <c r="AA127" s="196"/>
      <c r="AB127" s="196"/>
      <c r="AC127" s="196"/>
      <c r="AD127" s="196"/>
      <c r="AE127" s="196"/>
      <c r="AF127" s="196"/>
      <c r="AG127" s="196"/>
      <c r="AH127" s="196"/>
      <c r="AI127" s="196"/>
      <c r="AJ127" s="196"/>
      <c r="AK127" s="196"/>
      <c r="AL127" s="196"/>
      <c r="AM127" s="196"/>
      <c r="AN127" s="196"/>
      <c r="AO127" s="196"/>
      <c r="AP127" s="196"/>
      <c r="AQ127" s="196"/>
      <c r="AR127" s="196"/>
      <c r="AS127" s="196"/>
      <c r="AT127" s="197"/>
      <c r="AU127" s="165"/>
      <c r="AV127" s="32"/>
      <c r="AW127" s="32"/>
      <c r="AX127" s="32"/>
      <c r="AY127" s="32"/>
      <c r="BA127" s="44" t="str">
        <f t="shared" ca="1" si="18"/>
        <v>NGT_SO</v>
      </c>
      <c r="BB127" s="44" t="str">
        <f t="shared" si="39"/>
        <v>Fixed Inputs</v>
      </c>
      <c r="BC127" s="44" t="str">
        <f t="shared" si="40"/>
        <v>Variant allowances</v>
      </c>
      <c r="BD127" s="44" t="str">
        <f t="shared" si="41"/>
        <v>Totex variant allowances allocation percentages</v>
      </c>
    </row>
    <row r="128" spans="5:56">
      <c r="E128" s="201" t="str" cm="1">
        <f t="array" ref="E128">INDEX($E$81:$E$96,INT((ROW()-ROW($E$99))/2)+1)</f>
        <v>Spare 6</v>
      </c>
      <c r="F128" s="202"/>
      <c r="G128" s="202" t="s">
        <v>33</v>
      </c>
      <c r="H128" s="202" t="s">
        <v>279</v>
      </c>
      <c r="I128" s="202"/>
      <c r="J128" s="202"/>
      <c r="K128" s="202"/>
      <c r="L128" s="202"/>
      <c r="M128" s="202"/>
      <c r="N128" s="202"/>
      <c r="O128" s="202"/>
      <c r="P128" s="202"/>
      <c r="Q128" s="202"/>
      <c r="R128" s="202"/>
      <c r="S128" s="202"/>
      <c r="T128" s="202"/>
      <c r="U128" s="202"/>
      <c r="V128" s="202"/>
      <c r="W128" s="202"/>
      <c r="X128" s="202"/>
      <c r="Y128" s="202"/>
      <c r="Z128" s="202"/>
      <c r="AA128" s="202"/>
      <c r="AB128" s="202"/>
      <c r="AC128" s="202"/>
      <c r="AD128" s="202"/>
      <c r="AE128" s="202"/>
      <c r="AF128" s="202"/>
      <c r="AG128" s="202"/>
      <c r="AH128" s="202"/>
      <c r="AI128" s="202"/>
      <c r="AJ128" s="202"/>
      <c r="AK128" s="202"/>
      <c r="AL128" s="202"/>
      <c r="AM128" s="202"/>
      <c r="AN128" s="202"/>
      <c r="AO128" s="202"/>
      <c r="AP128" s="202"/>
      <c r="AQ128" s="202"/>
      <c r="AR128" s="202"/>
      <c r="AS128" s="202"/>
      <c r="AT128" s="203"/>
      <c r="AU128" s="165"/>
      <c r="AV128" s="32"/>
      <c r="AW128" s="32"/>
      <c r="AX128" s="32"/>
      <c r="AY128" s="32"/>
      <c r="BA128" s="44" t="str">
        <f t="shared" ca="1" si="18"/>
        <v>NGT_SO</v>
      </c>
      <c r="BB128" s="44" t="str">
        <f t="shared" si="39"/>
        <v>Fixed Inputs</v>
      </c>
      <c r="BC128" s="44" t="str">
        <f t="shared" si="40"/>
        <v>Variant allowances</v>
      </c>
      <c r="BD128" s="44" t="str">
        <f t="shared" si="41"/>
        <v>Totex variant allowances allocation percentages</v>
      </c>
    </row>
    <row r="129" spans="2:56">
      <c r="E129" s="195" t="str" cm="1">
        <f t="array" ref="E129">INDEX($E$81:$E$96,INT((ROW()-ROW($E$99))/2)+1)</f>
        <v>Spare 7</v>
      </c>
      <c r="F129" s="196"/>
      <c r="G129" s="196" t="s">
        <v>33</v>
      </c>
      <c r="H129" s="196" t="s">
        <v>275</v>
      </c>
      <c r="I129" s="196"/>
      <c r="J129" s="196"/>
      <c r="K129" s="196"/>
      <c r="L129" s="196"/>
      <c r="M129" s="196"/>
      <c r="N129" s="196"/>
      <c r="O129" s="196"/>
      <c r="P129" s="196"/>
      <c r="Q129" s="196"/>
      <c r="R129" s="196"/>
      <c r="S129" s="196"/>
      <c r="T129" s="196"/>
      <c r="U129" s="196"/>
      <c r="V129" s="196"/>
      <c r="W129" s="196"/>
      <c r="X129" s="196"/>
      <c r="Y129" s="196"/>
      <c r="Z129" s="196"/>
      <c r="AA129" s="196"/>
      <c r="AB129" s="196"/>
      <c r="AC129" s="196"/>
      <c r="AD129" s="196"/>
      <c r="AE129" s="196"/>
      <c r="AF129" s="196"/>
      <c r="AG129" s="196"/>
      <c r="AH129" s="196"/>
      <c r="AI129" s="196"/>
      <c r="AJ129" s="196"/>
      <c r="AK129" s="196"/>
      <c r="AL129" s="196"/>
      <c r="AM129" s="196"/>
      <c r="AN129" s="196"/>
      <c r="AO129" s="196"/>
      <c r="AP129" s="196"/>
      <c r="AQ129" s="196"/>
      <c r="AR129" s="196"/>
      <c r="AS129" s="196"/>
      <c r="AT129" s="197"/>
      <c r="AU129" s="165"/>
      <c r="AV129" s="32"/>
      <c r="AW129" s="32"/>
      <c r="AX129" s="32"/>
      <c r="AY129" s="32"/>
      <c r="BA129" s="44" t="str">
        <f t="shared" ca="1" si="18"/>
        <v>NGT_SO</v>
      </c>
      <c r="BB129" s="44" t="str">
        <f t="shared" si="39"/>
        <v>Fixed Inputs</v>
      </c>
      <c r="BC129" s="44" t="str">
        <f t="shared" si="40"/>
        <v>Variant allowances</v>
      </c>
      <c r="BD129" s="44" t="str">
        <f t="shared" si="41"/>
        <v>Totex variant allowances allocation percentages</v>
      </c>
    </row>
    <row r="130" spans="2:56">
      <c r="E130" s="201" t="str" cm="1">
        <f t="array" ref="E130">INDEX($E$81:$E$96,INT((ROW()-ROW($E$99))/2)+1)</f>
        <v>Spare 7</v>
      </c>
      <c r="F130" s="202"/>
      <c r="G130" s="202" t="s">
        <v>33</v>
      </c>
      <c r="H130" s="202" t="s">
        <v>279</v>
      </c>
      <c r="I130" s="202"/>
      <c r="J130" s="202"/>
      <c r="K130" s="202"/>
      <c r="L130" s="202"/>
      <c r="M130" s="202"/>
      <c r="N130" s="202"/>
      <c r="O130" s="202"/>
      <c r="P130" s="202"/>
      <c r="Q130" s="202"/>
      <c r="R130" s="202"/>
      <c r="S130" s="202"/>
      <c r="T130" s="202"/>
      <c r="U130" s="202"/>
      <c r="V130" s="202"/>
      <c r="W130" s="202"/>
      <c r="X130" s="202"/>
      <c r="Y130" s="202"/>
      <c r="Z130" s="202"/>
      <c r="AA130" s="202"/>
      <c r="AB130" s="202"/>
      <c r="AC130" s="202"/>
      <c r="AD130" s="202"/>
      <c r="AE130" s="202"/>
      <c r="AF130" s="202"/>
      <c r="AG130" s="202"/>
      <c r="AH130" s="202"/>
      <c r="AI130" s="202"/>
      <c r="AJ130" s="202"/>
      <c r="AK130" s="202"/>
      <c r="AL130" s="202"/>
      <c r="AM130" s="202"/>
      <c r="AN130" s="202"/>
      <c r="AO130" s="202"/>
      <c r="AP130" s="202"/>
      <c r="AQ130" s="202"/>
      <c r="AR130" s="202"/>
      <c r="AS130" s="202"/>
      <c r="AT130" s="203"/>
      <c r="AU130" s="165"/>
      <c r="AV130" s="32"/>
      <c r="AW130" s="32"/>
      <c r="AX130" s="32"/>
      <c r="AY130" s="32"/>
      <c r="BA130" s="44" t="str">
        <f t="shared" ca="1" si="18"/>
        <v>NGT_SO</v>
      </c>
      <c r="BB130" s="44" t="str">
        <f t="shared" si="39"/>
        <v>Fixed Inputs</v>
      </c>
      <c r="BC130" s="44" t="str">
        <f t="shared" si="40"/>
        <v>Variant allowances</v>
      </c>
      <c r="BD130" s="44" t="str">
        <f t="shared" si="41"/>
        <v>Totex variant allowances allocation percentages</v>
      </c>
    </row>
    <row r="131" spans="2:56">
      <c r="AU131"/>
      <c r="AV131"/>
      <c r="AW131"/>
      <c r="AX131"/>
      <c r="AY131"/>
    </row>
    <row r="132" spans="2:56" ht="17.5" thickBot="1">
      <c r="B132" s="11" t="s">
        <v>65</v>
      </c>
    </row>
    <row r="133" spans="2:56" ht="17" thickTop="1" thickBot="1">
      <c r="C133" s="12" t="s">
        <v>66</v>
      </c>
    </row>
    <row r="134" spans="2:56">
      <c r="E134" s="43" t="s">
        <v>264</v>
      </c>
      <c r="G134" s="43" t="str">
        <f>price_label</f>
        <v>£m 23/24 prices</v>
      </c>
      <c r="AU134" s="163">
        <v>40.149137847810941</v>
      </c>
      <c r="AV134" s="31">
        <v>43.414385662892577</v>
      </c>
      <c r="AW134" s="31">
        <v>29.974076298077016</v>
      </c>
      <c r="AX134" s="31">
        <v>32.00605888376915</v>
      </c>
      <c r="AY134" s="31">
        <v>27.498601518036935</v>
      </c>
      <c r="BA134" s="44" t="str">
        <f t="shared" ref="BA134:BA180" ca="1" si="42">$A$1</f>
        <v>NGT_SO</v>
      </c>
      <c r="BB134" s="44" t="str">
        <f>$A$78</f>
        <v>Fixed Inputs</v>
      </c>
      <c r="BC134" s="44" t="str">
        <f>$B$132</f>
        <v>Totex allowance</v>
      </c>
      <c r="BD134" s="44" t="str">
        <f>$C$133</f>
        <v>Non-variant allowances</v>
      </c>
    </row>
    <row r="135" spans="2:56">
      <c r="E135" s="43" t="s">
        <v>278</v>
      </c>
      <c r="G135" s="43" t="str">
        <f>price_label</f>
        <v>£m 23/24 prices</v>
      </c>
      <c r="AU135" s="163">
        <v>71.749390288379658</v>
      </c>
      <c r="AV135" s="31">
        <v>72.194039207266258</v>
      </c>
      <c r="AW135" s="31">
        <v>72.412134865315409</v>
      </c>
      <c r="AX135" s="31">
        <v>71.192254472383922</v>
      </c>
      <c r="AY135" s="31">
        <v>70.519992226866549</v>
      </c>
      <c r="BA135" s="44" t="str">
        <f t="shared" ca="1" si="42"/>
        <v>NGT_SO</v>
      </c>
      <c r="BB135" s="44" t="str">
        <f>$A$78</f>
        <v>Fixed Inputs</v>
      </c>
      <c r="BC135" s="44" t="str">
        <f>$B$132</f>
        <v>Totex allowance</v>
      </c>
      <c r="BD135" s="44" t="str">
        <f>$C$133</f>
        <v>Non-variant allowances</v>
      </c>
    </row>
    <row r="136" spans="2:56"/>
    <row r="137" spans="2:56" ht="17.5" thickBot="1">
      <c r="B137" s="11" t="s">
        <v>746</v>
      </c>
    </row>
    <row r="138" spans="2:56" ht="16.5" thickTop="1">
      <c r="E138" s="43" t="s">
        <v>68</v>
      </c>
      <c r="G138" s="43" t="str">
        <f>price_label</f>
        <v>£m 23/24 prices</v>
      </c>
      <c r="AU138" s="163">
        <v>0.56486029875569144</v>
      </c>
      <c r="AV138" s="31">
        <v>0.59784612311514829</v>
      </c>
      <c r="AW138" s="31">
        <v>0.58184657618466684</v>
      </c>
      <c r="AX138" s="31">
        <v>0.53015029963199412</v>
      </c>
      <c r="AY138" s="31">
        <v>0.52199747355478721</v>
      </c>
      <c r="BA138" s="44" t="str">
        <f t="shared" ca="1" si="42"/>
        <v>NGT_SO</v>
      </c>
      <c r="BB138" s="44" t="str">
        <f t="shared" ref="BB138" si="43">$A$78</f>
        <v>Fixed Inputs</v>
      </c>
      <c r="BC138" s="44" t="str">
        <f t="shared" ref="BC138" si="44">$B$137</f>
        <v>Tax trigger</v>
      </c>
    </row>
    <row r="139" spans="2:56" customFormat="1" ht="14.5">
      <c r="AT139" s="77"/>
    </row>
    <row r="140" spans="2:56" ht="17.5" thickBot="1">
      <c r="B140" s="11" t="s">
        <v>72</v>
      </c>
    </row>
    <row r="141" spans="2:56" ht="17" thickTop="1" thickBot="1">
      <c r="C141" s="12" t="s">
        <v>76</v>
      </c>
    </row>
    <row r="142" spans="2:56">
      <c r="E142" s="43" t="s">
        <v>80</v>
      </c>
      <c r="G142" s="43" t="s">
        <v>75</v>
      </c>
      <c r="I142" s="33">
        <v>7</v>
      </c>
      <c r="AU142"/>
      <c r="AV142"/>
      <c r="AW142"/>
      <c r="AX142"/>
      <c r="AY142"/>
      <c r="BA142" s="44" t="str">
        <f t="shared" ca="1" si="42"/>
        <v>NGT_SO</v>
      </c>
      <c r="BB142" s="44" t="str">
        <f>$A$78</f>
        <v>Fixed Inputs</v>
      </c>
      <c r="BC142" s="44" t="str">
        <f>$B$140</f>
        <v>RAV and assets</v>
      </c>
      <c r="BD142" s="44" t="str">
        <f>$C$141</f>
        <v>Post-vesting assets</v>
      </c>
    </row>
    <row r="143" spans="2:56">
      <c r="E143" s="43" t="s">
        <v>78</v>
      </c>
      <c r="G143" s="43" t="str">
        <f>price_label</f>
        <v>£m 23/24 prices</v>
      </c>
      <c r="J143" s="43" t="s">
        <v>10</v>
      </c>
      <c r="K143"/>
      <c r="L143"/>
      <c r="M143"/>
      <c r="N143"/>
      <c r="O143"/>
      <c r="P143"/>
      <c r="Q143"/>
      <c r="R143"/>
      <c r="S143"/>
      <c r="T143"/>
      <c r="U143"/>
      <c r="V143"/>
      <c r="W143" s="31">
        <v>0</v>
      </c>
      <c r="X143" s="31">
        <v>0</v>
      </c>
      <c r="Y143" s="31">
        <v>0</v>
      </c>
      <c r="Z143" s="31">
        <v>0</v>
      </c>
      <c r="AA143" s="31">
        <v>0</v>
      </c>
      <c r="AB143" s="31">
        <v>17.958820591449118</v>
      </c>
      <c r="AC143" s="31">
        <v>12.438928625409169</v>
      </c>
      <c r="AD143" s="31">
        <v>16.561981266218712</v>
      </c>
      <c r="AE143" s="31">
        <v>15.051324035092895</v>
      </c>
      <c r="AF143" s="31">
        <v>18.924538002288429</v>
      </c>
      <c r="AG143" s="31">
        <v>39.772014689532305</v>
      </c>
      <c r="AU143"/>
      <c r="AV143"/>
      <c r="AW143"/>
      <c r="AX143"/>
      <c r="AY143"/>
      <c r="BA143" s="44" t="str">
        <f t="shared" ca="1" si="42"/>
        <v>NGT_SO</v>
      </c>
      <c r="BB143" s="44" t="str">
        <f>$A$78</f>
        <v>Fixed Inputs</v>
      </c>
      <c r="BC143" s="44" t="str">
        <f>$B$140</f>
        <v>RAV and assets</v>
      </c>
      <c r="BD143" s="44" t="str">
        <f>$C$141</f>
        <v>Post-vesting assets</v>
      </c>
    </row>
    <row r="144" spans="2:56" s="24" customFormat="1" ht="16.5">
      <c r="B144"/>
      <c r="C144" s="25"/>
      <c r="D144"/>
      <c r="E144" s="43" t="s">
        <v>805</v>
      </c>
      <c r="F144" s="48" t="s">
        <v>884</v>
      </c>
      <c r="G144" s="48" t="str">
        <f>price_label</f>
        <v>£m 23/24 prices</v>
      </c>
      <c r="H144" s="48" t="s">
        <v>933</v>
      </c>
      <c r="I144" s="46"/>
      <c r="J144" s="43" t="s">
        <v>10</v>
      </c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42">
        <v>41.862841559768228</v>
      </c>
      <c r="AI144" s="42">
        <v>46.451430458247806</v>
      </c>
      <c r="AJ144" s="42">
        <v>49.593851658994922</v>
      </c>
      <c r="AK144" s="42">
        <v>47.150605524085442</v>
      </c>
      <c r="AL144" s="42">
        <v>43.503914548072935</v>
      </c>
      <c r="AM144" s="42">
        <v>46.791922766939734</v>
      </c>
      <c r="AN144" s="42">
        <v>48.263160058761315</v>
      </c>
      <c r="AO144" s="42">
        <v>45.386552517745301</v>
      </c>
      <c r="AP144" s="42">
        <v>33.556538549888074</v>
      </c>
      <c r="AQ144" s="42">
        <v>32.089398102404324</v>
      </c>
      <c r="AR144" s="42">
        <v>38.057570922873104</v>
      </c>
      <c r="AS144" s="42">
        <v>39.847141595382205</v>
      </c>
      <c r="AT144" s="188">
        <v>44.91818041237466</v>
      </c>
      <c r="AU144" s="25"/>
      <c r="AV144" s="25"/>
      <c r="AW144" s="25"/>
      <c r="AX144" s="25"/>
      <c r="AY144" s="25"/>
      <c r="AZ144" s="25"/>
      <c r="BA144" s="44" t="str">
        <f t="shared" ca="1" si="42"/>
        <v>NGT_SO</v>
      </c>
      <c r="BB144" s="44" t="str">
        <f>$A$78</f>
        <v>Fixed Inputs</v>
      </c>
      <c r="BC144" s="44" t="str">
        <f>$B$140</f>
        <v>RAV and assets</v>
      </c>
      <c r="BD144" s="44" t="str">
        <f>$C$141</f>
        <v>Post-vesting assets</v>
      </c>
    </row>
    <row r="145" spans="1:58" s="24" customFormat="1">
      <c r="B145"/>
      <c r="C145" s="25"/>
      <c r="D145" s="25"/>
      <c r="E145" s="48"/>
      <c r="F145" s="46"/>
      <c r="G145" s="48"/>
      <c r="H145" s="46"/>
      <c r="I145" s="46"/>
      <c r="J145" s="43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/>
      <c r="AI145"/>
      <c r="AJ145"/>
      <c r="AK145"/>
      <c r="AL145"/>
      <c r="AM145"/>
      <c r="AN145"/>
      <c r="AO145"/>
      <c r="AP145"/>
      <c r="AQ145"/>
      <c r="AR145"/>
      <c r="AS145"/>
      <c r="AT145" s="77"/>
      <c r="AU145"/>
      <c r="AV145"/>
      <c r="AW145"/>
      <c r="AX145"/>
      <c r="AY145"/>
      <c r="AZ145"/>
      <c r="BA145"/>
      <c r="BB145"/>
      <c r="BC145"/>
      <c r="BD145"/>
      <c r="BE145"/>
      <c r="BF145"/>
    </row>
    <row r="146" spans="1:58" s="24" customFormat="1">
      <c r="B146"/>
      <c r="C146" s="25"/>
      <c r="D146" s="25"/>
      <c r="E146" s="48" t="s">
        <v>1149</v>
      </c>
      <c r="F146" s="46"/>
      <c r="G146" s="48" t="str">
        <f>price_label</f>
        <v>£m 23/24 prices</v>
      </c>
      <c r="H146" s="46"/>
      <c r="I146" s="46"/>
      <c r="J146" s="43" t="s">
        <v>10</v>
      </c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42">
        <v>111.28894097832986</v>
      </c>
      <c r="AI146" s="42">
        <v>134.51602161232643</v>
      </c>
      <c r="AJ146" s="42">
        <v>156.815150608956</v>
      </c>
      <c r="AK146" s="42">
        <v>171.36318732302098</v>
      </c>
      <c r="AL146" s="42">
        <v>177.89472959566393</v>
      </c>
      <c r="AM146" s="42">
        <v>183.64962429960508</v>
      </c>
      <c r="AN146" s="42">
        <v>186.89470132898907</v>
      </c>
      <c r="AO146" s="42">
        <v>186.05015005032433</v>
      </c>
      <c r="AP146" s="42">
        <v>172.87219752409135</v>
      </c>
      <c r="AQ146" s="42">
        <v>160.06923196585456</v>
      </c>
      <c r="AR146" s="42">
        <v>155.73507545045663</v>
      </c>
      <c r="AS146" s="42">
        <v>154.48949455059815</v>
      </c>
      <c r="AT146" s="188">
        <v>158.8373486038308</v>
      </c>
      <c r="AU146"/>
      <c r="AV146"/>
      <c r="AW146"/>
      <c r="AX146"/>
      <c r="AY146"/>
      <c r="AZ146"/>
      <c r="BA146" s="44" t="str">
        <f t="shared" ca="1" si="42"/>
        <v>NGT_SO</v>
      </c>
      <c r="BB146" s="44" t="str">
        <f>$A$78</f>
        <v>Fixed Inputs</v>
      </c>
      <c r="BC146" s="44" t="str">
        <f>$B$140</f>
        <v>RAV and assets</v>
      </c>
      <c r="BD146" s="44" t="str">
        <f>$C$141</f>
        <v>Post-vesting assets</v>
      </c>
      <c r="BE146"/>
      <c r="BF146"/>
    </row>
    <row r="147" spans="1:58" s="9" customFormat="1">
      <c r="A147" s="8"/>
      <c r="B147" s="8"/>
      <c r="C147"/>
      <c r="D147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43"/>
      <c r="S147" s="43"/>
      <c r="T147" s="43"/>
      <c r="U147" s="43"/>
      <c r="V147" s="43"/>
      <c r="W147" s="43"/>
      <c r="X147" s="43"/>
      <c r="Y147" s="43"/>
      <c r="Z147" s="43"/>
      <c r="AA147" s="43"/>
      <c r="AB147" s="43"/>
      <c r="AC147" s="43"/>
      <c r="AD147" s="43"/>
      <c r="AE147" s="43"/>
      <c r="AF147" s="43"/>
      <c r="AG147" s="43"/>
      <c r="AH147" s="43"/>
      <c r="AI147" s="43"/>
      <c r="AJ147" s="43"/>
      <c r="AK147" s="43"/>
      <c r="AL147" s="43"/>
      <c r="AM147" s="43"/>
      <c r="AN147" s="43"/>
      <c r="AO147" s="43"/>
      <c r="AP147" s="43"/>
      <c r="AQ147" s="43"/>
      <c r="AR147" s="43"/>
      <c r="AS147" s="43"/>
      <c r="AT147" s="76"/>
      <c r="AU147" s="43"/>
      <c r="AV147" s="43"/>
      <c r="AW147" s="43"/>
      <c r="AX147" s="43"/>
      <c r="AY147" s="43"/>
      <c r="AZ147" s="43"/>
      <c r="BA147" s="44"/>
      <c r="BB147" s="44"/>
      <c r="BC147" s="44"/>
      <c r="BD147" s="44"/>
    </row>
    <row r="148" spans="1:58" s="9" customFormat="1" ht="20" thickBot="1">
      <c r="A148" s="22" t="s">
        <v>747</v>
      </c>
      <c r="B148" s="8"/>
      <c r="C148"/>
      <c r="D148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43"/>
      <c r="S148" s="43"/>
      <c r="T148" s="43"/>
      <c r="U148" s="43"/>
      <c r="V148" s="43"/>
      <c r="W148" s="43"/>
      <c r="X148" s="43"/>
      <c r="Y148" s="43"/>
      <c r="Z148" s="43"/>
      <c r="AA148" s="43"/>
      <c r="AB148" s="43"/>
      <c r="AC148" s="43"/>
      <c r="AD148" s="43"/>
      <c r="AE148" s="43"/>
      <c r="AF148" s="43"/>
      <c r="AG148" s="43"/>
      <c r="AH148" s="43"/>
      <c r="AI148" s="43"/>
      <c r="AJ148" s="43"/>
      <c r="AK148" s="43"/>
      <c r="AL148" s="43"/>
      <c r="AM148" s="43"/>
      <c r="AN148" s="43"/>
      <c r="AO148" s="43"/>
      <c r="AP148" s="43"/>
      <c r="AQ148" s="43"/>
      <c r="AR148" s="43"/>
      <c r="AS148" s="43"/>
      <c r="AT148" s="76"/>
      <c r="AU148" s="43"/>
      <c r="AV148" s="43"/>
      <c r="AW148" s="43"/>
      <c r="AX148" s="43"/>
      <c r="AY148" s="43"/>
      <c r="AZ148" s="43"/>
      <c r="BA148" s="44"/>
      <c r="BB148" s="44"/>
      <c r="BC148" s="44"/>
      <c r="BD148" s="44"/>
    </row>
    <row r="149" spans="1:58" customFormat="1" ht="18" thickTop="1" thickBot="1">
      <c r="B149" s="17" t="s">
        <v>237</v>
      </c>
      <c r="AT149" s="77"/>
    </row>
    <row r="150" spans="1:58" customFormat="1" ht="17" thickTop="1">
      <c r="E150" s="43" t="s">
        <v>83</v>
      </c>
      <c r="G150" s="43" t="s">
        <v>84</v>
      </c>
      <c r="H150" s="4" t="s">
        <v>934</v>
      </c>
      <c r="I150" s="43"/>
      <c r="J150" s="43"/>
      <c r="AS150" s="39">
        <v>1.1251419392397453E-2</v>
      </c>
      <c r="AT150" s="82">
        <v>3.7340686527174817E-3</v>
      </c>
      <c r="AU150" s="166">
        <v>1.8E-3</v>
      </c>
      <c r="AV150" s="39">
        <v>-2.0000000000000001E-4</v>
      </c>
      <c r="AW150" s="39">
        <v>5.0000000000000001E-4</v>
      </c>
      <c r="AX150" s="39">
        <v>1.6000000000000001E-3</v>
      </c>
      <c r="AY150" s="39">
        <v>4.0000000000000001E-3</v>
      </c>
      <c r="BA150" s="44" t="str">
        <f t="shared" ca="1" si="42"/>
        <v>NGT_SO</v>
      </c>
      <c r="BB150" s="44" t="str">
        <f t="shared" ref="BB150" si="45">$A$148</f>
        <v>Variable policy</v>
      </c>
      <c r="BC150" s="44" t="str">
        <f>$B$149</f>
        <v>Real Price Effects</v>
      </c>
    </row>
    <row r="151" spans="1:58" customFormat="1" ht="14.5">
      <c r="AT151" s="77"/>
    </row>
    <row r="152" spans="1:58" s="9" customFormat="1" ht="17.5" thickBot="1">
      <c r="A152" s="8"/>
      <c r="B152" s="11" t="s">
        <v>277</v>
      </c>
      <c r="C152"/>
      <c r="D152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43"/>
      <c r="S152" s="43"/>
      <c r="T152" s="43"/>
      <c r="U152" s="43"/>
      <c r="V152" s="43"/>
      <c r="W152" s="43"/>
      <c r="X152" s="43"/>
      <c r="Y152" s="43"/>
      <c r="Z152" s="43"/>
      <c r="AA152" s="43"/>
      <c r="AB152" s="43"/>
      <c r="AC152" s="43"/>
      <c r="AD152" s="43"/>
      <c r="AE152" s="43"/>
      <c r="AF152" s="43"/>
      <c r="AG152" s="43"/>
      <c r="AH152" s="43"/>
      <c r="AI152" s="43"/>
      <c r="AJ152" s="43"/>
      <c r="AK152" s="43"/>
      <c r="AL152" s="43"/>
      <c r="AM152" s="43"/>
      <c r="AN152" s="43"/>
      <c r="AO152" s="43"/>
      <c r="AP152" s="43"/>
      <c r="AQ152" s="43"/>
      <c r="AR152" s="43"/>
      <c r="AS152" s="43"/>
      <c r="AT152" s="76"/>
      <c r="AU152" s="43"/>
      <c r="AV152" s="43"/>
      <c r="AW152" s="43"/>
      <c r="AX152" s="43"/>
      <c r="AY152" s="43"/>
      <c r="AZ152" s="43"/>
      <c r="BA152" s="44"/>
      <c r="BB152" s="44"/>
      <c r="BC152" s="44"/>
      <c r="BD152" s="44"/>
    </row>
    <row r="153" spans="1:58" ht="17" thickTop="1">
      <c r="E153" s="43" t="s">
        <v>344</v>
      </c>
      <c r="G153" s="43" t="s">
        <v>33</v>
      </c>
      <c r="H153" s="48" t="s">
        <v>1085</v>
      </c>
      <c r="I153"/>
      <c r="AU153" s="164">
        <v>0</v>
      </c>
      <c r="AV153" s="29">
        <v>0</v>
      </c>
      <c r="AW153" s="29">
        <v>0</v>
      </c>
      <c r="AX153" s="29">
        <v>0</v>
      </c>
      <c r="AY153" s="29">
        <v>0</v>
      </c>
      <c r="BA153" s="44" t="str">
        <f t="shared" ca="1" si="42"/>
        <v>NGT_SO</v>
      </c>
      <c r="BB153" s="44" t="str">
        <f t="shared" ref="BB153:BB160" si="46">$A$148</f>
        <v>Variable policy</v>
      </c>
      <c r="BC153" s="44" t="str">
        <f t="shared" ref="BC153:BC160" si="47">$B$152</f>
        <v>Tax</v>
      </c>
    </row>
    <row r="154" spans="1:58" ht="16.5">
      <c r="E154" s="43" t="s">
        <v>726</v>
      </c>
      <c r="G154" s="43" t="s">
        <v>33</v>
      </c>
      <c r="H154" s="48" t="s">
        <v>1086</v>
      </c>
      <c r="I154"/>
      <c r="AU154" s="164">
        <v>0</v>
      </c>
      <c r="AV154" s="29">
        <v>0</v>
      </c>
      <c r="AW154" s="29">
        <v>0</v>
      </c>
      <c r="AX154" s="29">
        <v>0</v>
      </c>
      <c r="AY154" s="29">
        <v>0</v>
      </c>
      <c r="BA154" s="44" t="str">
        <f t="shared" ca="1" si="42"/>
        <v>NGT_SO</v>
      </c>
      <c r="BB154" s="44" t="str">
        <f t="shared" si="46"/>
        <v>Variable policy</v>
      </c>
      <c r="BC154" s="44" t="str">
        <f t="shared" si="47"/>
        <v>Tax</v>
      </c>
    </row>
    <row r="155" spans="1:58" s="9" customFormat="1" ht="16.5">
      <c r="B155" s="8"/>
      <c r="C155"/>
      <c r="D155"/>
      <c r="E155" s="43" t="s">
        <v>32</v>
      </c>
      <c r="F155" s="43"/>
      <c r="G155" s="43" t="s">
        <v>33</v>
      </c>
      <c r="H155" s="48" t="s">
        <v>1087</v>
      </c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F155" s="43"/>
      <c r="AG155" s="43"/>
      <c r="AH155" s="43"/>
      <c r="AI155" s="43"/>
      <c r="AJ155" s="43"/>
      <c r="AK155" s="43"/>
      <c r="AL155" s="43"/>
      <c r="AM155" s="43"/>
      <c r="AN155" s="43"/>
      <c r="AO155" s="43"/>
      <c r="AP155" s="43"/>
      <c r="AQ155" s="43"/>
      <c r="AR155" s="43"/>
      <c r="AS155" s="43"/>
      <c r="AT155" s="76"/>
      <c r="AU155" s="164">
        <v>0.39784163033665798</v>
      </c>
      <c r="AV155" s="164">
        <v>0.4400821305622874</v>
      </c>
      <c r="AW155" s="164">
        <v>0.41219352618333327</v>
      </c>
      <c r="AX155" s="164">
        <v>0.34995903630079878</v>
      </c>
      <c r="AY155" s="164">
        <v>0.29574615478557031</v>
      </c>
      <c r="AZ155" s="43"/>
      <c r="BA155" s="44" t="str">
        <f t="shared" ca="1" si="42"/>
        <v>NGT_SO</v>
      </c>
      <c r="BB155" s="44" t="str">
        <f t="shared" si="46"/>
        <v>Variable policy</v>
      </c>
      <c r="BC155" s="44" t="str">
        <f t="shared" si="47"/>
        <v>Tax</v>
      </c>
      <c r="BD155" s="44"/>
    </row>
    <row r="156" spans="1:58" s="9" customFormat="1" ht="16.5">
      <c r="B156" s="8"/>
      <c r="C156"/>
      <c r="D156"/>
      <c r="E156" s="43" t="s">
        <v>34</v>
      </c>
      <c r="F156" s="43"/>
      <c r="G156" s="43" t="s">
        <v>33</v>
      </c>
      <c r="H156" s="48" t="s">
        <v>1088</v>
      </c>
      <c r="I156" s="43"/>
      <c r="J156" s="43"/>
      <c r="K156" s="43"/>
      <c r="L156" s="43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  <c r="AF156" s="43"/>
      <c r="AG156" s="43"/>
      <c r="AH156" s="43"/>
      <c r="AI156" s="43"/>
      <c r="AJ156" s="43"/>
      <c r="AK156" s="43"/>
      <c r="AL156" s="43"/>
      <c r="AM156" s="43"/>
      <c r="AN156" s="43"/>
      <c r="AO156" s="43"/>
      <c r="AP156" s="43"/>
      <c r="AQ156" s="43"/>
      <c r="AR156" s="43"/>
      <c r="AS156" s="43"/>
      <c r="AT156" s="76"/>
      <c r="AU156" s="164">
        <v>0</v>
      </c>
      <c r="AV156" s="29">
        <v>0</v>
      </c>
      <c r="AW156" s="29">
        <v>0</v>
      </c>
      <c r="AX156" s="29">
        <v>0</v>
      </c>
      <c r="AY156" s="29">
        <v>0</v>
      </c>
      <c r="AZ156" s="43"/>
      <c r="BA156" s="44" t="str">
        <f t="shared" ca="1" si="42"/>
        <v>NGT_SO</v>
      </c>
      <c r="BB156" s="44" t="str">
        <f t="shared" si="46"/>
        <v>Variable policy</v>
      </c>
      <c r="BC156" s="44" t="str">
        <f t="shared" si="47"/>
        <v>Tax</v>
      </c>
      <c r="BD156" s="44"/>
    </row>
    <row r="157" spans="1:58" s="9" customFormat="1" ht="16.5">
      <c r="B157" s="8"/>
      <c r="C157"/>
      <c r="D157"/>
      <c r="E157" s="43" t="s">
        <v>35</v>
      </c>
      <c r="F157" s="43"/>
      <c r="G157" s="43" t="s">
        <v>33</v>
      </c>
      <c r="H157" s="48" t="s">
        <v>1089</v>
      </c>
      <c r="I157" s="43"/>
      <c r="J157" s="43"/>
      <c r="K157" s="43"/>
      <c r="L157" s="43"/>
      <c r="M157" s="43"/>
      <c r="N157" s="43"/>
      <c r="O157" s="43"/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  <c r="AA157" s="43"/>
      <c r="AB157" s="43"/>
      <c r="AC157" s="43"/>
      <c r="AD157" s="43"/>
      <c r="AE157" s="43"/>
      <c r="AF157" s="43"/>
      <c r="AG157" s="43"/>
      <c r="AH157" s="43"/>
      <c r="AI157" s="43"/>
      <c r="AJ157" s="43"/>
      <c r="AK157" s="43"/>
      <c r="AL157" s="43"/>
      <c r="AM157" s="43"/>
      <c r="AN157" s="43"/>
      <c r="AO157" s="43"/>
      <c r="AP157" s="43"/>
      <c r="AQ157" s="43"/>
      <c r="AR157" s="43"/>
      <c r="AS157" s="43"/>
      <c r="AT157" s="76"/>
      <c r="AU157" s="164">
        <v>0</v>
      </c>
      <c r="AV157" s="29">
        <v>0</v>
      </c>
      <c r="AW157" s="29">
        <v>0</v>
      </c>
      <c r="AX157" s="29">
        <v>0</v>
      </c>
      <c r="AY157" s="29">
        <v>0</v>
      </c>
      <c r="AZ157" s="43"/>
      <c r="BA157" s="44" t="str">
        <f t="shared" ca="1" si="42"/>
        <v>NGT_SO</v>
      </c>
      <c r="BB157" s="44" t="str">
        <f t="shared" si="46"/>
        <v>Variable policy</v>
      </c>
      <c r="BC157" s="44" t="str">
        <f t="shared" si="47"/>
        <v>Tax</v>
      </c>
      <c r="BD157" s="44"/>
    </row>
    <row r="158" spans="1:58" ht="16.5">
      <c r="E158" s="43" t="s">
        <v>36</v>
      </c>
      <c r="G158" s="43" t="s">
        <v>33</v>
      </c>
      <c r="H158" s="48" t="s">
        <v>1090</v>
      </c>
      <c r="AU158" s="164">
        <v>0</v>
      </c>
      <c r="AV158" s="29">
        <v>0</v>
      </c>
      <c r="AW158" s="29">
        <v>0</v>
      </c>
      <c r="AX158" s="29">
        <v>0</v>
      </c>
      <c r="AY158" s="29">
        <v>0</v>
      </c>
      <c r="BA158" s="44" t="str">
        <f t="shared" ca="1" si="42"/>
        <v>NGT_SO</v>
      </c>
      <c r="BB158" s="44" t="str">
        <f t="shared" si="46"/>
        <v>Variable policy</v>
      </c>
      <c r="BC158" s="44" t="str">
        <f t="shared" si="47"/>
        <v>Tax</v>
      </c>
    </row>
    <row r="159" spans="1:58" ht="16.5">
      <c r="E159" s="43" t="s">
        <v>38</v>
      </c>
      <c r="G159" s="43" t="s">
        <v>33</v>
      </c>
      <c r="H159" s="48" t="s">
        <v>1091</v>
      </c>
      <c r="AU159" s="164">
        <v>0</v>
      </c>
      <c r="AV159" s="29">
        <v>0</v>
      </c>
      <c r="AW159" s="29">
        <v>0</v>
      </c>
      <c r="AX159" s="29">
        <v>0</v>
      </c>
      <c r="AY159" s="29">
        <v>0</v>
      </c>
      <c r="BA159" s="44" t="str">
        <f t="shared" ca="1" si="42"/>
        <v>NGT_SO</v>
      </c>
      <c r="BB159" s="44" t="str">
        <f t="shared" si="46"/>
        <v>Variable policy</v>
      </c>
      <c r="BC159" s="44" t="str">
        <f t="shared" si="47"/>
        <v>Tax</v>
      </c>
    </row>
    <row r="160" spans="1:58" ht="16.5">
      <c r="E160" s="43" t="s">
        <v>37</v>
      </c>
      <c r="G160" s="43" t="s">
        <v>33</v>
      </c>
      <c r="H160" s="48" t="s">
        <v>1092</v>
      </c>
      <c r="AU160" s="164">
        <v>0.60215836966334191</v>
      </c>
      <c r="AV160" s="164">
        <v>0.55991786943771249</v>
      </c>
      <c r="AW160" s="164">
        <v>0.58780647381666673</v>
      </c>
      <c r="AX160" s="164">
        <v>0.65004096369920117</v>
      </c>
      <c r="AY160" s="164">
        <v>0.70425384521442969</v>
      </c>
      <c r="BA160" s="44" t="str">
        <f t="shared" ca="1" si="42"/>
        <v>NGT_SO</v>
      </c>
      <c r="BB160" s="44" t="str">
        <f t="shared" si="46"/>
        <v>Variable policy</v>
      </c>
      <c r="BC160" s="44" t="str">
        <f t="shared" si="47"/>
        <v>Tax</v>
      </c>
    </row>
    <row r="161" spans="1:56" s="9" customFormat="1">
      <c r="A161" s="8"/>
      <c r="B161" s="8"/>
      <c r="C161"/>
      <c r="D161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  <c r="AF161" s="43"/>
      <c r="AG161" s="43"/>
      <c r="AH161" s="43"/>
      <c r="AI161" s="43"/>
      <c r="AJ161" s="43"/>
      <c r="AK161" s="43"/>
      <c r="AL161" s="43"/>
      <c r="AM161" s="43"/>
      <c r="AN161" s="43"/>
      <c r="AO161" s="43"/>
      <c r="AP161" s="43"/>
      <c r="AQ161" s="43"/>
      <c r="AR161" s="43"/>
      <c r="AS161" s="43"/>
      <c r="AT161" s="76"/>
      <c r="AU161" s="43"/>
      <c r="AV161" s="43"/>
      <c r="AW161" s="43"/>
      <c r="AX161" s="43"/>
      <c r="AY161" s="43"/>
      <c r="AZ161" s="43"/>
      <c r="BA161" s="44"/>
      <c r="BB161" s="44"/>
      <c r="BC161" s="44"/>
      <c r="BD161" s="44"/>
    </row>
    <row r="162" spans="1:56" s="9" customFormat="1" ht="17.5" thickBot="1">
      <c r="A162" s="8"/>
      <c r="B162" s="11" t="s">
        <v>533</v>
      </c>
      <c r="C162"/>
      <c r="D162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  <c r="AF162" s="43"/>
      <c r="AG162" s="43"/>
      <c r="AH162" s="43"/>
      <c r="AI162" s="43"/>
      <c r="AJ162" s="43"/>
      <c r="AK162" s="43"/>
      <c r="AL162" s="43"/>
      <c r="AM162" s="43"/>
      <c r="AN162" s="43"/>
      <c r="AO162" s="43"/>
      <c r="AP162" s="43"/>
      <c r="AQ162" s="43"/>
      <c r="AR162" s="43"/>
      <c r="AS162" s="43"/>
      <c r="AT162" s="76"/>
      <c r="AU162" s="43"/>
      <c r="AV162" s="43"/>
      <c r="AW162" s="43"/>
      <c r="AX162" s="43"/>
      <c r="AY162" s="43"/>
      <c r="AZ162" s="43"/>
      <c r="BA162" s="44"/>
      <c r="BB162" s="44"/>
      <c r="BC162" s="44"/>
      <c r="BD162" s="44"/>
    </row>
    <row r="163" spans="1:56" customFormat="1" ht="17" thickTop="1">
      <c r="E163" t="s">
        <v>454</v>
      </c>
      <c r="F163" s="4" t="s">
        <v>70</v>
      </c>
      <c r="G163" s="4" t="s">
        <v>21</v>
      </c>
      <c r="H163" s="4" t="s">
        <v>1093</v>
      </c>
      <c r="J163" s="43"/>
      <c r="AT163" s="77"/>
      <c r="AV163" s="37">
        <v>1</v>
      </c>
      <c r="AW163" s="37">
        <v>1</v>
      </c>
      <c r="AX163" s="37">
        <v>1</v>
      </c>
      <c r="AY163" s="37">
        <v>1</v>
      </c>
      <c r="BA163" s="44" t="str">
        <f t="shared" ca="1" si="0"/>
        <v>NGT_SO</v>
      </c>
      <c r="BB163" s="44" t="str">
        <f t="shared" ref="BB163:BB164" si="48">$A$148</f>
        <v>Variable policy</v>
      </c>
      <c r="BC163" s="44" t="str">
        <f>$B$162</f>
        <v>Forecasting Penalties</v>
      </c>
    </row>
    <row r="164" spans="1:56" customFormat="1" ht="16.5">
      <c r="E164" t="s">
        <v>455</v>
      </c>
      <c r="F164" s="4" t="s">
        <v>70</v>
      </c>
      <c r="G164" s="4" t="s">
        <v>21</v>
      </c>
      <c r="H164" s="4" t="s">
        <v>1094</v>
      </c>
      <c r="J164" s="43"/>
      <c r="AT164" s="77"/>
      <c r="AV164" s="37">
        <v>1</v>
      </c>
      <c r="AW164" s="37">
        <v>1</v>
      </c>
      <c r="AX164" s="37">
        <v>1</v>
      </c>
      <c r="AY164" s="37">
        <v>1</v>
      </c>
      <c r="BA164" s="44" t="str">
        <f t="shared" ca="1" si="0"/>
        <v>NGT_SO</v>
      </c>
      <c r="BB164" s="44" t="str">
        <f t="shared" si="48"/>
        <v>Variable policy</v>
      </c>
      <c r="BC164" s="44" t="str">
        <f>$B$162</f>
        <v>Forecasting Penalties</v>
      </c>
    </row>
    <row r="165" spans="1:56" s="9" customFormat="1">
      <c r="B165" s="8"/>
      <c r="C165"/>
      <c r="D165"/>
      <c r="E165" s="43"/>
      <c r="F165" s="48"/>
      <c r="G165" s="48"/>
      <c r="H165" s="48"/>
      <c r="I165" s="43"/>
      <c r="J165" s="43"/>
      <c r="K165" s="43"/>
      <c r="L165" s="43"/>
      <c r="M165" s="43"/>
      <c r="N165" s="43"/>
      <c r="O165" s="43"/>
      <c r="P165" s="43"/>
      <c r="Q165" s="43"/>
      <c r="R165" s="43"/>
      <c r="S165" s="43"/>
      <c r="T165" s="43"/>
      <c r="U165" s="43"/>
      <c r="V165" s="43"/>
      <c r="W165" s="43"/>
      <c r="X165" s="43"/>
      <c r="Y165" s="43"/>
      <c r="Z165" s="43"/>
      <c r="AA165" s="43"/>
      <c r="AB165" s="43"/>
      <c r="AC165" s="43"/>
      <c r="AD165" s="43"/>
      <c r="AE165" s="43"/>
      <c r="AF165" s="43"/>
      <c r="AG165" s="43"/>
      <c r="AH165" s="43"/>
      <c r="AI165" s="43"/>
      <c r="AJ165" s="43"/>
      <c r="AK165" s="43"/>
      <c r="AL165" s="43"/>
      <c r="AM165" s="43"/>
      <c r="AN165" s="43"/>
      <c r="AO165" s="43"/>
      <c r="AP165" s="43"/>
      <c r="AQ165" s="43"/>
      <c r="AR165" s="43"/>
      <c r="AS165" s="43"/>
      <c r="AT165" s="76"/>
      <c r="AU165" s="43"/>
      <c r="AV165" s="43"/>
      <c r="AW165" s="43"/>
      <c r="AX165" s="43"/>
      <c r="AY165" s="43"/>
      <c r="AZ165" s="43"/>
      <c r="BA165" s="44"/>
      <c r="BB165" s="44"/>
      <c r="BC165" s="44"/>
    </row>
    <row r="166" spans="1:56" customFormat="1" ht="20" thickBot="1">
      <c r="A166" s="21" t="s">
        <v>748</v>
      </c>
      <c r="F166" s="4"/>
      <c r="G166" s="4"/>
      <c r="H166" s="4"/>
      <c r="AT166" s="77"/>
      <c r="BA166" s="44"/>
      <c r="BB166" s="44"/>
      <c r="BC166" s="44"/>
    </row>
    <row r="167" spans="1:56" ht="18" thickTop="1" thickBot="1">
      <c r="B167" s="11" t="s">
        <v>277</v>
      </c>
    </row>
    <row r="168" spans="1:56" ht="16.5" thickTop="1">
      <c r="E168" s="43" t="s">
        <v>67</v>
      </c>
      <c r="G168" s="43" t="s">
        <v>33</v>
      </c>
      <c r="AU168" s="165">
        <v>0.6</v>
      </c>
      <c r="AV168" s="32">
        <v>0.6</v>
      </c>
      <c r="AW168" s="32">
        <v>0.6</v>
      </c>
      <c r="AX168" s="32">
        <v>0.6</v>
      </c>
      <c r="AY168" s="32">
        <v>0.6</v>
      </c>
      <c r="BA168" s="44" t="str">
        <f t="shared" ca="1" si="42"/>
        <v>NGT_SO</v>
      </c>
      <c r="BB168" s="44" t="str">
        <f>$A$166</f>
        <v>Fixed policy</v>
      </c>
      <c r="BC168" s="44" t="str">
        <f>$B$167</f>
        <v>Tax</v>
      </c>
    </row>
    <row r="169" spans="1:56">
      <c r="E169" s="43" t="s">
        <v>345</v>
      </c>
      <c r="G169" s="43" t="s">
        <v>33</v>
      </c>
      <c r="I169"/>
      <c r="AU169" s="165">
        <v>1</v>
      </c>
      <c r="AV169" s="32">
        <v>1</v>
      </c>
      <c r="AW169" s="32">
        <v>1</v>
      </c>
      <c r="AX169" s="32">
        <v>1</v>
      </c>
      <c r="AY169" s="32">
        <v>1</v>
      </c>
      <c r="BA169" s="44" t="str">
        <f t="shared" ca="1" si="42"/>
        <v>NGT_SO</v>
      </c>
      <c r="BB169" s="44" t="str">
        <f>$A$166</f>
        <v>Fixed policy</v>
      </c>
      <c r="BC169" s="44" t="str">
        <f>$B$167</f>
        <v>Tax</v>
      </c>
    </row>
    <row r="170" spans="1:56">
      <c r="E170" s="43" t="s">
        <v>721</v>
      </c>
      <c r="G170" s="43" t="s">
        <v>33</v>
      </c>
      <c r="I170"/>
      <c r="AU170" s="165">
        <v>0.5</v>
      </c>
      <c r="AV170" s="32">
        <v>0.5</v>
      </c>
      <c r="AW170" s="32">
        <v>0.5</v>
      </c>
      <c r="AX170" s="32">
        <v>0.5</v>
      </c>
      <c r="AY170" s="32">
        <v>0.5</v>
      </c>
      <c r="BA170" s="44" t="str">
        <f t="shared" ca="1" si="42"/>
        <v>NGT_SO</v>
      </c>
      <c r="BB170" s="44" t="str">
        <f>$A$166</f>
        <v>Fixed policy</v>
      </c>
      <c r="BC170" s="44" t="str">
        <f>$B$167</f>
        <v>Tax</v>
      </c>
    </row>
    <row r="171" spans="1:56" customFormat="1" ht="14.5">
      <c r="AT171" s="77"/>
    </row>
    <row r="172" spans="1:56" ht="17.5" thickBot="1">
      <c r="B172" s="149" t="s">
        <v>100</v>
      </c>
    </row>
    <row r="173" spans="1:56" ht="16.5" thickTop="1">
      <c r="E173" s="43" t="s">
        <v>314</v>
      </c>
      <c r="G173" s="43" t="s">
        <v>33</v>
      </c>
      <c r="I173" s="32">
        <v>0.39</v>
      </c>
      <c r="BA173" s="44" t="str">
        <f t="shared" ca="1" si="42"/>
        <v>NGT_SO</v>
      </c>
      <c r="BB173" s="44" t="str">
        <f>$A$166</f>
        <v>Fixed policy</v>
      </c>
      <c r="BC173" s="44" t="str">
        <f>$B$172</f>
        <v>TIM and capitalisation</v>
      </c>
    </row>
    <row r="174" spans="1:56">
      <c r="E174" s="43" t="s">
        <v>282</v>
      </c>
      <c r="G174" s="43" t="s">
        <v>33</v>
      </c>
      <c r="AU174" s="165">
        <v>0.39</v>
      </c>
      <c r="AV174" s="32">
        <v>0.39</v>
      </c>
      <c r="AW174" s="32">
        <v>0.39</v>
      </c>
      <c r="AX174" s="32">
        <v>0.39</v>
      </c>
      <c r="AY174" s="32">
        <v>0.39</v>
      </c>
      <c r="BA174" s="44" t="str">
        <f t="shared" ca="1" si="42"/>
        <v>NGT_SO</v>
      </c>
      <c r="BB174" s="44" t="str">
        <f>$A$166</f>
        <v>Fixed policy</v>
      </c>
      <c r="BC174" s="44" t="str">
        <f>$B$172</f>
        <v>TIM and capitalisation</v>
      </c>
    </row>
    <row r="175" spans="1:56">
      <c r="I175"/>
    </row>
    <row r="176" spans="1:56" ht="17.5" thickBot="1">
      <c r="B176" s="11" t="s">
        <v>749</v>
      </c>
    </row>
    <row r="177" spans="1:56" ht="16.5" thickTop="1">
      <c r="E177" s="43" t="s">
        <v>290</v>
      </c>
      <c r="G177" s="43" t="s">
        <v>33</v>
      </c>
      <c r="I177" s="32">
        <v>1</v>
      </c>
      <c r="BA177" s="44" t="str">
        <f t="shared" ca="1" si="42"/>
        <v>NGT_SO</v>
      </c>
      <c r="BB177" s="44" t="str">
        <f t="shared" ref="BB177:BB180" si="49">$A$166</f>
        <v>Fixed policy</v>
      </c>
      <c r="BC177" s="44" t="str">
        <f>$B$176</f>
        <v>Assumed cost multipliers</v>
      </c>
    </row>
    <row r="178" spans="1:56">
      <c r="E178" s="43" t="s">
        <v>291</v>
      </c>
      <c r="G178" s="43" t="s">
        <v>33</v>
      </c>
      <c r="I178" s="32">
        <v>1</v>
      </c>
      <c r="BA178" s="44" t="str">
        <f t="shared" ca="1" si="42"/>
        <v>NGT_SO</v>
      </c>
      <c r="BB178" s="44" t="str">
        <f t="shared" si="49"/>
        <v>Fixed policy</v>
      </c>
      <c r="BC178" s="44" t="str">
        <f>$B$176</f>
        <v>Assumed cost multipliers</v>
      </c>
    </row>
    <row r="179" spans="1:56">
      <c r="E179" s="43" t="s">
        <v>815</v>
      </c>
      <c r="G179" s="43" t="s">
        <v>33</v>
      </c>
      <c r="I179" s="32">
        <v>1</v>
      </c>
      <c r="BA179" s="44" t="str">
        <f t="shared" ca="1" si="42"/>
        <v>NGT_SO</v>
      </c>
      <c r="BB179" s="44" t="str">
        <f t="shared" si="49"/>
        <v>Fixed policy</v>
      </c>
      <c r="BC179" s="44" t="str">
        <f>$B$176</f>
        <v>Assumed cost multipliers</v>
      </c>
    </row>
    <row r="180" spans="1:56">
      <c r="E180" s="43" t="s">
        <v>257</v>
      </c>
      <c r="G180" s="43" t="s">
        <v>33</v>
      </c>
      <c r="I180" s="32">
        <v>0</v>
      </c>
      <c r="BA180" s="44" t="str">
        <f t="shared" ca="1" si="42"/>
        <v>NGT_SO</v>
      </c>
      <c r="BB180" s="44" t="str">
        <f t="shared" si="49"/>
        <v>Fixed policy</v>
      </c>
      <c r="BC180" s="44" t="str">
        <f>$B$176</f>
        <v>Assumed cost multipliers</v>
      </c>
    </row>
    <row r="181" spans="1:56"/>
    <row r="182" spans="1:56" ht="17.5" thickBot="1">
      <c r="B182" s="11" t="s">
        <v>744</v>
      </c>
      <c r="I182"/>
    </row>
    <row r="183" spans="1:56" ht="16.5" thickTop="1">
      <c r="E183" s="43" t="s">
        <v>1021</v>
      </c>
      <c r="G183" s="43" t="s">
        <v>33</v>
      </c>
      <c r="I183" s="112">
        <v>0.12</v>
      </c>
      <c r="BA183" s="44" t="str">
        <f t="shared" ref="BA183:BA188" ca="1" si="50">$A$1</f>
        <v>NGT_SO</v>
      </c>
      <c r="BB183" s="44" t="str">
        <f t="shared" ref="BB183:BB188" si="51">$A$166</f>
        <v>Fixed policy</v>
      </c>
      <c r="BC183" s="44" t="str">
        <f>$B$182</f>
        <v>Allowed revenue true-up</v>
      </c>
    </row>
    <row r="184" spans="1:56">
      <c r="E184" s="43" t="s">
        <v>1022</v>
      </c>
      <c r="G184" s="43" t="s">
        <v>33</v>
      </c>
      <c r="I184" s="112">
        <v>0.06</v>
      </c>
      <c r="BA184" s="44" t="str">
        <f t="shared" ca="1" si="50"/>
        <v>NGT_SO</v>
      </c>
      <c r="BB184" s="44" t="str">
        <f t="shared" si="51"/>
        <v>Fixed policy</v>
      </c>
      <c r="BC184" s="44" t="str">
        <f>$B$182</f>
        <v>Allowed revenue true-up</v>
      </c>
    </row>
    <row r="185" spans="1:56">
      <c r="E185" s="43" t="s">
        <v>452</v>
      </c>
      <c r="G185" s="43" t="s">
        <v>33</v>
      </c>
      <c r="I185" s="112">
        <v>1.15E-2</v>
      </c>
      <c r="BA185" s="44" t="str">
        <f t="shared" ca="1" si="50"/>
        <v>NGT_SO</v>
      </c>
      <c r="BB185" s="44" t="str">
        <f t="shared" si="51"/>
        <v>Fixed policy</v>
      </c>
      <c r="BC185" s="44" t="str">
        <f t="shared" ref="BC185:BC188" si="52">$B$182</f>
        <v>Allowed revenue true-up</v>
      </c>
    </row>
    <row r="186" spans="1:56">
      <c r="E186" s="43" t="s">
        <v>453</v>
      </c>
      <c r="G186" s="43" t="s">
        <v>33</v>
      </c>
      <c r="I186" s="112">
        <v>1.15E-2</v>
      </c>
      <c r="BA186" s="44" t="str">
        <f t="shared" ca="1" si="50"/>
        <v>NGT_SO</v>
      </c>
      <c r="BB186" s="44" t="str">
        <f t="shared" si="51"/>
        <v>Fixed policy</v>
      </c>
      <c r="BC186" s="44" t="str">
        <f t="shared" si="52"/>
        <v>Allowed revenue true-up</v>
      </c>
    </row>
    <row r="187" spans="1:56">
      <c r="E187" s="43" t="s">
        <v>1161</v>
      </c>
      <c r="G187" s="43" t="s">
        <v>75</v>
      </c>
      <c r="I187" s="41">
        <v>1</v>
      </c>
      <c r="BA187" s="44" t="str">
        <f t="shared" ca="1" si="50"/>
        <v>NGT_SO</v>
      </c>
      <c r="BB187" s="44" t="str">
        <f t="shared" si="51"/>
        <v>Fixed policy</v>
      </c>
      <c r="BC187" s="44" t="str">
        <f t="shared" si="52"/>
        <v>Allowed revenue true-up</v>
      </c>
    </row>
    <row r="188" spans="1:56">
      <c r="E188" s="43" t="s">
        <v>1162</v>
      </c>
      <c r="G188" s="43" t="s">
        <v>75</v>
      </c>
      <c r="I188" s="41">
        <v>1</v>
      </c>
      <c r="BA188" s="44" t="str">
        <f t="shared" ca="1" si="50"/>
        <v>NGT_SO</v>
      </c>
      <c r="BB188" s="44" t="str">
        <f t="shared" si="51"/>
        <v>Fixed policy</v>
      </c>
      <c r="BC188" s="44" t="str">
        <f t="shared" si="52"/>
        <v>Allowed revenue true-up</v>
      </c>
    </row>
    <row r="189" spans="1:56">
      <c r="I189"/>
    </row>
    <row r="190" spans="1:56" customFormat="1" ht="14.5">
      <c r="AT190" s="77"/>
      <c r="BA190" s="44"/>
    </row>
    <row r="191" spans="1:56" ht="20" thickBot="1">
      <c r="A191" s="23" t="s">
        <v>111</v>
      </c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 s="13"/>
      <c r="AJ191" s="13"/>
      <c r="AK191" s="13"/>
      <c r="AL191" s="13"/>
      <c r="AM191" s="13"/>
      <c r="AN191" s="13"/>
      <c r="AO191" s="13"/>
      <c r="AP191" s="13"/>
      <c r="AQ191" s="13"/>
      <c r="AR191" s="13"/>
      <c r="AS191" s="13"/>
      <c r="AU191" s="13"/>
      <c r="AV191" s="13"/>
      <c r="AW191" s="13"/>
      <c r="AX191" s="13"/>
      <c r="AY191" s="13"/>
      <c r="AZ191" s="13"/>
      <c r="BA191" s="18"/>
      <c r="BB191" s="13"/>
      <c r="BC191" s="13"/>
      <c r="BD191" s="13"/>
    </row>
    <row r="192" spans="1:56"/>
    <row r="193"/>
  </sheetData>
  <dataConsolidate/>
  <phoneticPr fontId="8" type="noConversion"/>
  <conditionalFormatting sqref="H1">
    <cfRule type="cellIs" dxfId="0" priority="1" operator="equal">
      <formula>"ERROR"</formula>
    </cfRule>
  </conditionalFormatting>
  <pageMargins left="0.23622047244094491" right="0.23622047244094491" top="0.74803149606299213" bottom="0.74803149606299213" header="0.31496062992125984" footer="0.31496062992125984"/>
  <pageSetup paperSize="8" fitToHeight="0" orientation="portrait" r:id="rId1"/>
  <headerFooter>
    <oddFooter>&amp;LDraft at &amp;D_x000D_&amp;1#&amp;"Aptos"&amp;10&amp;K000000 National Gas | Business Use&amp;R"&amp;A" sheet&amp;R"&amp;A" sheet&amp;R"&amp;A" sheet&amp;R"&amp;A" sheet&amp;R"&amp;A" sheet&amp;R"&amp;A" sheet&amp;R"&amp;A" sheet&amp;R"&amp;A" sheet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E362A-D91D-4AA0-812C-9FA6040179BB}">
  <sheetPr codeName="Sheet14">
    <tabColor rgb="FF7FB5BA"/>
    <pageSetUpPr autoPageBreaks="0" fitToPage="1"/>
  </sheetPr>
  <dimension ref="A1:BM786"/>
  <sheetViews>
    <sheetView workbookViewId="0">
      <pane xSplit="10" ySplit="4" topLeftCell="K5" activePane="bottomRight" state="frozen"/>
      <selection pane="topRight" activeCell="K1" sqref="K1"/>
      <selection pane="bottomLeft" activeCell="A5" sqref="A5"/>
      <selection pane="bottomRight"/>
    </sheetView>
  </sheetViews>
  <sheetFormatPr defaultColWidth="0" defaultRowHeight="16" zeroHeight="1" outlineLevelCol="1"/>
  <cols>
    <col min="1" max="2" width="1.81640625" style="8" customWidth="1"/>
    <col min="3" max="3" width="1.81640625" customWidth="1"/>
    <col min="4" max="4" width="15.7265625" customWidth="1"/>
    <col min="5" max="5" width="77.26953125" style="43" customWidth="1"/>
    <col min="6" max="6" width="8.7265625" style="150" customWidth="1"/>
    <col min="7" max="7" width="17.7265625" style="43" customWidth="1"/>
    <col min="8" max="8" width="9.7265625" style="43" customWidth="1"/>
    <col min="9" max="9" width="11.7265625" style="43" customWidth="1"/>
    <col min="10" max="10" width="2.08984375" style="43" customWidth="1"/>
    <col min="11" max="45" width="11.7265625" style="43" hidden="1" customWidth="1" outlineLevel="1"/>
    <col min="46" max="46" width="11.7265625" style="76" hidden="1" customWidth="1" outlineLevel="1"/>
    <col min="47" max="47" width="11.7265625" style="43" customWidth="1" collapsed="1"/>
    <col min="48" max="52" width="11.7265625" style="43" customWidth="1"/>
    <col min="53" max="56" width="10.7265625" style="44" customWidth="1"/>
    <col min="57" max="57" width="10.7265625" style="43" customWidth="1"/>
    <col min="58" max="58" width="1.7265625" style="8" customWidth="1"/>
    <col min="59" max="59" width="12.08984375" style="8" hidden="1" customWidth="1"/>
    <col min="60" max="60" width="16" style="8" hidden="1" customWidth="1"/>
    <col min="61" max="63" width="12.08984375" style="8" hidden="1" customWidth="1"/>
    <col min="64" max="65" width="1.81640625" style="8" hidden="1" customWidth="1"/>
    <col min="66" max="16384" width="10.26953125" style="8" hidden="1"/>
  </cols>
  <sheetData>
    <row r="1" spans="1:65" s="119" customFormat="1" ht="14.5">
      <c r="A1" s="118" t="str" cm="1">
        <f t="array" aca="1" ref="A1" ca="1">MID(CELL("filename",$A$1),FIND("]",CELL("filename",$A$1))+1,255)</f>
        <v>VariantAllowances</v>
      </c>
      <c r="F1" s="153"/>
      <c r="G1" s="119" t="s">
        <v>515</v>
      </c>
      <c r="H1" s="38" t="str">
        <f ca="1">Checks!I7</f>
        <v>ERROR</v>
      </c>
      <c r="AT1" s="120"/>
      <c r="BA1" s="121"/>
    </row>
    <row r="2" spans="1:65" s="119" customFormat="1" ht="14.5">
      <c r="F2" s="153"/>
      <c r="AT2" s="120"/>
      <c r="BA2" s="121"/>
    </row>
    <row r="3" spans="1:65" s="119" customFormat="1" ht="14.5">
      <c r="E3" s="119" t="s">
        <v>0</v>
      </c>
      <c r="F3" s="153" t="s">
        <v>1</v>
      </c>
      <c r="G3" s="119" t="s">
        <v>2</v>
      </c>
      <c r="H3" s="119" t="s">
        <v>3</v>
      </c>
      <c r="I3" s="119" t="str">
        <f>NGT_TO!I3</f>
        <v>Constant</v>
      </c>
      <c r="AT3" s="120"/>
      <c r="AU3" s="122" t="str">
        <f>NGT_TO!AU3</f>
        <v>Annual values</v>
      </c>
      <c r="BA3" s="121"/>
    </row>
    <row r="4" spans="1:65" s="119" customFormat="1" ht="14.5">
      <c r="E4" s="119" t="s">
        <v>6</v>
      </c>
      <c r="F4" s="153"/>
      <c r="K4" s="122">
        <f>NGT_TO!K4</f>
        <v>33328</v>
      </c>
      <c r="L4" s="122">
        <f>NGT_TO!L4</f>
        <v>33694</v>
      </c>
      <c r="M4" s="122">
        <f>NGT_TO!M4</f>
        <v>34059</v>
      </c>
      <c r="N4" s="122">
        <f>NGT_TO!N4</f>
        <v>34424</v>
      </c>
      <c r="O4" s="122">
        <f>NGT_TO!O4</f>
        <v>34789</v>
      </c>
      <c r="P4" s="122">
        <f>NGT_TO!P4</f>
        <v>35155</v>
      </c>
      <c r="Q4" s="122">
        <f>NGT_TO!Q4</f>
        <v>35520</v>
      </c>
      <c r="R4" s="122">
        <f>NGT_TO!R4</f>
        <v>35885</v>
      </c>
      <c r="S4" s="122">
        <f>NGT_TO!S4</f>
        <v>36250</v>
      </c>
      <c r="T4" s="122">
        <f>NGT_TO!T4</f>
        <v>36616</v>
      </c>
      <c r="U4" s="122">
        <f>NGT_TO!U4</f>
        <v>36981</v>
      </c>
      <c r="V4" s="122">
        <f>NGT_TO!V4</f>
        <v>37346</v>
      </c>
      <c r="W4" s="122">
        <f>NGT_TO!W4</f>
        <v>37711</v>
      </c>
      <c r="X4" s="122">
        <f>NGT_TO!X4</f>
        <v>38077</v>
      </c>
      <c r="Y4" s="122">
        <f>NGT_TO!Y4</f>
        <v>38442</v>
      </c>
      <c r="Z4" s="122">
        <f>NGT_TO!Z4</f>
        <v>38807</v>
      </c>
      <c r="AA4" s="122">
        <f>NGT_TO!AA4</f>
        <v>39172</v>
      </c>
      <c r="AB4" s="122">
        <f>NGT_TO!AB4</f>
        <v>39538</v>
      </c>
      <c r="AC4" s="122">
        <f>NGT_TO!AC4</f>
        <v>39903</v>
      </c>
      <c r="AD4" s="122">
        <f>NGT_TO!AD4</f>
        <v>40268</v>
      </c>
      <c r="AE4" s="122">
        <f>NGT_TO!AE4</f>
        <v>40633</v>
      </c>
      <c r="AF4" s="122">
        <f>NGT_TO!AF4</f>
        <v>40999</v>
      </c>
      <c r="AG4" s="122">
        <f>NGT_TO!AG4</f>
        <v>41364</v>
      </c>
      <c r="AH4" s="122">
        <f>NGT_TO!AH4</f>
        <v>41729</v>
      </c>
      <c r="AI4" s="122">
        <f>NGT_TO!AI4</f>
        <v>42094</v>
      </c>
      <c r="AJ4" s="122">
        <f>NGT_TO!AJ4</f>
        <v>42460</v>
      </c>
      <c r="AK4" s="122">
        <f>NGT_TO!AK4</f>
        <v>42825</v>
      </c>
      <c r="AL4" s="122">
        <f>NGT_TO!AL4</f>
        <v>43190</v>
      </c>
      <c r="AM4" s="122">
        <f>NGT_TO!AM4</f>
        <v>43555</v>
      </c>
      <c r="AN4" s="122">
        <f>NGT_TO!AN4</f>
        <v>43921</v>
      </c>
      <c r="AO4" s="122">
        <f>NGT_TO!AO4</f>
        <v>44286</v>
      </c>
      <c r="AP4" s="122">
        <f>NGT_TO!AP4</f>
        <v>44651</v>
      </c>
      <c r="AQ4" s="122">
        <f>NGT_TO!AQ4</f>
        <v>45016</v>
      </c>
      <c r="AR4" s="122">
        <f>NGT_TO!AR4</f>
        <v>45382</v>
      </c>
      <c r="AS4" s="122">
        <f>NGT_TO!AS4</f>
        <v>45747</v>
      </c>
      <c r="AT4" s="123">
        <f>NGT_TO!AT4</f>
        <v>46112</v>
      </c>
      <c r="AU4" s="122">
        <f>NGT_TO!AU4</f>
        <v>46477</v>
      </c>
      <c r="AV4" s="122">
        <f>NGT_TO!AV4</f>
        <v>46843</v>
      </c>
      <c r="AW4" s="122">
        <f>NGT_TO!AW4</f>
        <v>47208</v>
      </c>
      <c r="AX4" s="122">
        <f>NGT_TO!AX4</f>
        <v>47573</v>
      </c>
      <c r="AY4" s="122">
        <f>NGT_TO!AY4</f>
        <v>47938</v>
      </c>
      <c r="BA4" s="127" t="s">
        <v>527</v>
      </c>
      <c r="BB4" s="127" t="s">
        <v>528</v>
      </c>
      <c r="BC4" s="127" t="s">
        <v>529</v>
      </c>
      <c r="BD4" s="127" t="s">
        <v>530</v>
      </c>
    </row>
    <row r="5" spans="1:65" s="43" customFormat="1">
      <c r="A5" s="8"/>
      <c r="B5" s="8"/>
      <c r="C5"/>
      <c r="D5"/>
      <c r="F5" s="150"/>
      <c r="AT5" s="76"/>
      <c r="BA5" s="44"/>
      <c r="BB5" s="44"/>
      <c r="BC5" s="44"/>
      <c r="BD5" s="44"/>
      <c r="BF5" s="8"/>
      <c r="BG5" s="8"/>
      <c r="BH5" s="8"/>
      <c r="BI5" s="8"/>
      <c r="BJ5" s="8"/>
      <c r="BK5" s="8"/>
      <c r="BL5" s="8"/>
      <c r="BM5" s="8"/>
    </row>
    <row r="6" spans="1:65" s="43" customFormat="1" ht="20" thickBot="1">
      <c r="A6" s="10" t="s">
        <v>495</v>
      </c>
      <c r="B6" s="8"/>
      <c r="C6"/>
      <c r="D6"/>
      <c r="F6" s="150"/>
      <c r="AT6" s="76"/>
      <c r="BA6" s="44"/>
      <c r="BB6" s="44"/>
      <c r="BC6" s="44"/>
      <c r="BD6" s="44"/>
      <c r="BF6" s="8"/>
      <c r="BG6" s="8"/>
      <c r="BH6" s="8"/>
      <c r="BI6" s="8"/>
      <c r="BJ6" s="8"/>
      <c r="BK6" s="8"/>
      <c r="BL6" s="8"/>
      <c r="BM6" s="8"/>
    </row>
    <row r="7" spans="1:65" ht="18" thickTop="1" thickBot="1">
      <c r="B7" s="11" t="s">
        <v>39</v>
      </c>
      <c r="AZ7"/>
    </row>
    <row r="8" spans="1:65" ht="17" thickTop="1">
      <c r="E8" s="43" t="str">
        <f>NGT_TO!E81</f>
        <v>Baseline Network Risk Output</v>
      </c>
      <c r="F8" s="150" t="str">
        <f>NGT_TO!F81</f>
        <v>SpC 3.1</v>
      </c>
      <c r="G8" s="43" t="str">
        <f t="shared" ref="G8:G50" si="0">price_label</f>
        <v>£m 23/24 prices</v>
      </c>
      <c r="H8" s="43" t="s">
        <v>889</v>
      </c>
      <c r="AU8" s="174">
        <f>NGT_TO!AU81</f>
        <v>97.274288959155768</v>
      </c>
      <c r="AV8" s="50">
        <f>NGT_TO!AV81</f>
        <v>100.99621266913842</v>
      </c>
      <c r="AW8" s="50">
        <f>NGT_TO!AW81</f>
        <v>113.67179183309473</v>
      </c>
      <c r="AX8" s="50">
        <f>NGT_TO!AX81</f>
        <v>116.72906477120164</v>
      </c>
      <c r="AY8" s="50">
        <f>NGT_TO!AY81</f>
        <v>146.66950594248902</v>
      </c>
      <c r="AZ8"/>
      <c r="BA8" s="44" t="str">
        <f ca="1">$A$1</f>
        <v>VariantAllowances</v>
      </c>
      <c r="BB8" s="44" t="str">
        <f>$A$6</f>
        <v>TO variant allowances</v>
      </c>
      <c r="BC8" s="44" t="str">
        <f t="shared" ref="BC8:BC50" si="1">$B$7</f>
        <v>Variant allowances</v>
      </c>
    </row>
    <row r="9" spans="1:65" ht="16.5">
      <c r="E9" s="43" t="str">
        <f>NGT_TO!E82</f>
        <v>NARM Asset Health Re-opener</v>
      </c>
      <c r="F9" s="150" t="str">
        <f>NGT_TO!F82</f>
        <v>SpC 3.1</v>
      </c>
      <c r="G9" s="43" t="str">
        <f t="shared" si="0"/>
        <v>£m 23/24 prices</v>
      </c>
      <c r="H9" s="43" t="s">
        <v>890</v>
      </c>
      <c r="AU9" s="174">
        <f>NGT_TO!AU82</f>
        <v>0</v>
      </c>
      <c r="AV9" s="50">
        <f>NGT_TO!AV82</f>
        <v>0</v>
      </c>
      <c r="AW9" s="50">
        <f>NGT_TO!AW82</f>
        <v>0</v>
      </c>
      <c r="AX9" s="50">
        <f>NGT_TO!AX82</f>
        <v>0</v>
      </c>
      <c r="AY9" s="50">
        <f>NGT_TO!AY82</f>
        <v>0</v>
      </c>
      <c r="AZ9"/>
      <c r="BA9" s="44" t="str">
        <f t="shared" ref="BA9:BA50" ca="1" si="2">$A$1</f>
        <v>VariantAllowances</v>
      </c>
      <c r="BB9" s="44" t="str">
        <f t="shared" ref="BB9:BB50" si="3">$A$6</f>
        <v>TO variant allowances</v>
      </c>
      <c r="BC9" s="44" t="str">
        <f t="shared" si="1"/>
        <v>Variant allowances</v>
      </c>
    </row>
    <row r="10" spans="1:65" ht="16.5">
      <c r="E10" s="43" t="str">
        <f>NGT_TO!E83</f>
        <v>Cyber resilience term Price Control Deliverable</v>
      </c>
      <c r="F10" s="150" t="str">
        <f>NGT_TO!F83</f>
        <v>SpC 3.2</v>
      </c>
      <c r="G10" s="43" t="str">
        <f t="shared" si="0"/>
        <v>£m 23/24 prices</v>
      </c>
      <c r="H10" s="43" t="s">
        <v>891</v>
      </c>
      <c r="AU10" s="174">
        <f>NGT_TO!AU83</f>
        <v>57.667199334260971</v>
      </c>
      <c r="AV10" s="50">
        <f>NGT_TO!AV83</f>
        <v>60.456073969463418</v>
      </c>
      <c r="AW10" s="50">
        <f>NGT_TO!AW83</f>
        <v>57.006286629753333</v>
      </c>
      <c r="AX10" s="50">
        <f>NGT_TO!AX83</f>
        <v>48.054658794727878</v>
      </c>
      <c r="AY10" s="50">
        <f>NGT_TO!AY83</f>
        <v>44.299062903804199</v>
      </c>
      <c r="AZ10"/>
      <c r="BA10" s="44" t="str">
        <f t="shared" ca="1" si="2"/>
        <v>VariantAllowances</v>
      </c>
      <c r="BB10" s="44" t="str">
        <f t="shared" si="3"/>
        <v>TO variant allowances</v>
      </c>
      <c r="BC10" s="44" t="str">
        <f t="shared" si="1"/>
        <v>Variant allowances</v>
      </c>
    </row>
    <row r="11" spans="1:65" ht="16.5">
      <c r="E11" s="43" t="str">
        <f>NGT_TO!E84</f>
        <v>Cyber resilience Re-Opener</v>
      </c>
      <c r="F11" s="150" t="str">
        <f>NGT_TO!F84</f>
        <v>SpC 3.2</v>
      </c>
      <c r="G11" s="43" t="str">
        <f t="shared" si="0"/>
        <v>£m 23/24 prices</v>
      </c>
      <c r="H11" s="43" t="s">
        <v>892</v>
      </c>
      <c r="AU11" s="174">
        <f>NGT_TO!AU84</f>
        <v>0</v>
      </c>
      <c r="AV11" s="50">
        <f>NGT_TO!AV84</f>
        <v>0</v>
      </c>
      <c r="AW11" s="50">
        <f>NGT_TO!AW84</f>
        <v>0</v>
      </c>
      <c r="AX11" s="50">
        <f>NGT_TO!AX84</f>
        <v>0</v>
      </c>
      <c r="AY11" s="50">
        <f>NGT_TO!AY84</f>
        <v>0</v>
      </c>
      <c r="AZ11"/>
      <c r="BA11" s="44" t="str">
        <f t="shared" ca="1" si="2"/>
        <v>VariantAllowances</v>
      </c>
      <c r="BB11" s="44" t="str">
        <f t="shared" si="3"/>
        <v>TO variant allowances</v>
      </c>
      <c r="BC11" s="44" t="str">
        <f t="shared" si="1"/>
        <v>Variant allowances</v>
      </c>
    </row>
    <row r="12" spans="1:65" ht="16.5">
      <c r="E12" s="43" t="str">
        <f>NGT_TO!E85</f>
        <v>Cyber resilience Use it or lose it allowance</v>
      </c>
      <c r="F12" s="150" t="str">
        <f>NGT_TO!F85</f>
        <v>SpC 3.2</v>
      </c>
      <c r="G12" s="43" t="str">
        <f t="shared" si="0"/>
        <v>£m 23/24 prices</v>
      </c>
      <c r="H12" s="43" t="s">
        <v>893</v>
      </c>
      <c r="AU12" s="174">
        <f>NGT_TO!AU85</f>
        <v>5.0092852264934367</v>
      </c>
      <c r="AV12" s="50">
        <f>NGT_TO!AV85</f>
        <v>5.4400164624388623</v>
      </c>
      <c r="AW12" s="50">
        <f>NGT_TO!AW85</f>
        <v>7.3747446891219388</v>
      </c>
      <c r="AX12" s="50">
        <f>NGT_TO!AX85</f>
        <v>0</v>
      </c>
      <c r="AY12" s="50">
        <f>NGT_TO!AY85</f>
        <v>0</v>
      </c>
      <c r="AZ12"/>
      <c r="BA12" s="44" t="str">
        <f t="shared" ca="1" si="2"/>
        <v>VariantAllowances</v>
      </c>
      <c r="BB12" s="44" t="str">
        <f t="shared" si="3"/>
        <v>TO variant allowances</v>
      </c>
      <c r="BC12" s="44" t="str">
        <f t="shared" si="1"/>
        <v>Variant allowances</v>
      </c>
    </row>
    <row r="13" spans="1:65" ht="16.5">
      <c r="E13" s="43" t="str">
        <f>NGT_TO!E86</f>
        <v>Resilience Activity Re-opener</v>
      </c>
      <c r="F13" s="150" t="str">
        <f>NGT_TO!F86</f>
        <v>SpC 3.3</v>
      </c>
      <c r="G13" s="43" t="str">
        <f t="shared" si="0"/>
        <v>£m 23/24 prices</v>
      </c>
      <c r="H13" s="43" t="s">
        <v>1131</v>
      </c>
      <c r="AU13" s="174">
        <f>NGT_TO!AU86</f>
        <v>0</v>
      </c>
      <c r="AV13" s="50">
        <f>NGT_TO!AV86</f>
        <v>1.9926644</v>
      </c>
      <c r="AW13" s="50">
        <f>NGT_TO!AW86</f>
        <v>1.9926644</v>
      </c>
      <c r="AX13" s="50">
        <f>NGT_TO!AX86</f>
        <v>2.9889965800000002</v>
      </c>
      <c r="AY13" s="50">
        <f>NGT_TO!AY86</f>
        <v>2.9889965800000002</v>
      </c>
      <c r="AZ13"/>
      <c r="BA13" s="44" t="str">
        <f t="shared" ca="1" si="2"/>
        <v>VariantAllowances</v>
      </c>
      <c r="BB13" s="44" t="str">
        <f t="shared" si="3"/>
        <v>TO variant allowances</v>
      </c>
      <c r="BC13" s="44" t="str">
        <f t="shared" si="1"/>
        <v>Variant allowances</v>
      </c>
    </row>
    <row r="14" spans="1:65" ht="16.5">
      <c r="E14" s="43" t="str">
        <f>NGT_TO!E87</f>
        <v>Physical Security Price Control Deliverable</v>
      </c>
      <c r="F14" s="150" t="str">
        <f>NGT_TO!F87</f>
        <v>SpC 3.3</v>
      </c>
      <c r="G14" s="43" t="str">
        <f t="shared" si="0"/>
        <v>£m 23/24 prices</v>
      </c>
      <c r="H14" s="43" t="s">
        <v>894</v>
      </c>
      <c r="AU14" s="174">
        <f>NGT_TO!AU87</f>
        <v>29.81197787123649</v>
      </c>
      <c r="AV14" s="50">
        <f>NGT_TO!AV87</f>
        <v>33.595003895043554</v>
      </c>
      <c r="AW14" s="50">
        <f>NGT_TO!AW87</f>
        <v>25.697737476290424</v>
      </c>
      <c r="AX14" s="50">
        <f>NGT_TO!AX87</f>
        <v>24.872034517836031</v>
      </c>
      <c r="AY14" s="50">
        <f>NGT_TO!AY87</f>
        <v>21.16905570401115</v>
      </c>
      <c r="AZ14"/>
      <c r="BA14" s="44" t="str">
        <f t="shared" ca="1" si="2"/>
        <v>VariantAllowances</v>
      </c>
      <c r="BB14" s="44" t="str">
        <f t="shared" si="3"/>
        <v>TO variant allowances</v>
      </c>
      <c r="BC14" s="44" t="str">
        <f t="shared" si="1"/>
        <v>Variant allowances</v>
      </c>
    </row>
    <row r="15" spans="1:65" ht="16.5">
      <c r="E15" s="43" t="str">
        <f>NGT_TO!E88</f>
        <v>Physical Security Price Control Deliverable - Re-Opener Element</v>
      </c>
      <c r="F15" s="150" t="str">
        <f>NGT_TO!F88</f>
        <v>SpC 3.3</v>
      </c>
      <c r="G15" s="43" t="str">
        <f t="shared" si="0"/>
        <v>£m 23/24 prices</v>
      </c>
      <c r="H15" s="43" t="s">
        <v>895</v>
      </c>
      <c r="AU15" s="174">
        <f>NGT_TO!AU88</f>
        <v>0</v>
      </c>
      <c r="AV15" s="50">
        <f>NGT_TO!AV88</f>
        <v>0</v>
      </c>
      <c r="AW15" s="50">
        <f>NGT_TO!AW88</f>
        <v>0</v>
      </c>
      <c r="AX15" s="50">
        <f>NGT_TO!AX88</f>
        <v>0</v>
      </c>
      <c r="AY15" s="50">
        <f>NGT_TO!AY88</f>
        <v>0</v>
      </c>
      <c r="AZ15"/>
      <c r="BA15" s="44" t="str">
        <f t="shared" ca="1" si="2"/>
        <v>VariantAllowances</v>
      </c>
      <c r="BB15" s="44" t="str">
        <f t="shared" si="3"/>
        <v>TO variant allowances</v>
      </c>
      <c r="BC15" s="44" t="str">
        <f t="shared" si="1"/>
        <v>Variant allowances</v>
      </c>
    </row>
    <row r="16" spans="1:65" ht="16.5">
      <c r="E16" s="43" t="str">
        <f>NGT_TO!E89</f>
        <v>Small Decarbonisation Projects Re-opener</v>
      </c>
      <c r="F16" s="150" t="str">
        <f>NGT_TO!F89</f>
        <v>SpC 3.4</v>
      </c>
      <c r="G16" s="43" t="str">
        <f t="shared" si="0"/>
        <v>£m 23/24 prices</v>
      </c>
      <c r="H16" s="43" t="s">
        <v>896</v>
      </c>
      <c r="AU16" s="174">
        <f>NGT_TO!AU89</f>
        <v>45.08</v>
      </c>
      <c r="AV16" s="50">
        <f>NGT_TO!AV89</f>
        <v>25.06</v>
      </c>
      <c r="AW16" s="50">
        <f>NGT_TO!AW89</f>
        <v>25.06</v>
      </c>
      <c r="AX16" s="50">
        <f>NGT_TO!AX89</f>
        <v>0</v>
      </c>
      <c r="AY16" s="50">
        <f>NGT_TO!AY89</f>
        <v>0</v>
      </c>
      <c r="AZ16"/>
      <c r="BA16" s="44" t="str">
        <f t="shared" ca="1" si="2"/>
        <v>VariantAllowances</v>
      </c>
      <c r="BB16" s="44" t="str">
        <f t="shared" si="3"/>
        <v>TO variant allowances</v>
      </c>
      <c r="BC16" s="44" t="str">
        <f t="shared" si="1"/>
        <v>Variant allowances</v>
      </c>
    </row>
    <row r="17" spans="5:55" ht="16.5">
      <c r="E17" s="43" t="str">
        <f>NGT_TO!E90</f>
        <v>Decarbonisation Project Development Fund UIOLI</v>
      </c>
      <c r="F17" s="150" t="str">
        <f>NGT_TO!F90</f>
        <v>SpC 3.5</v>
      </c>
      <c r="G17" s="43" t="str">
        <f t="shared" si="0"/>
        <v>£m 23/24 prices</v>
      </c>
      <c r="H17" s="43" t="s">
        <v>897</v>
      </c>
      <c r="AU17" s="174">
        <f>NGT_TO!AU90</f>
        <v>3.26</v>
      </c>
      <c r="AV17" s="50">
        <f>NGT_TO!AV90</f>
        <v>3.27</v>
      </c>
      <c r="AW17" s="50">
        <f>NGT_TO!AW90</f>
        <v>3.3</v>
      </c>
      <c r="AX17" s="50">
        <f>NGT_TO!AX90</f>
        <v>3.02</v>
      </c>
      <c r="AY17" s="50">
        <f>NGT_TO!AY90</f>
        <v>3.14</v>
      </c>
      <c r="AZ17"/>
      <c r="BA17" s="44" t="str">
        <f t="shared" ca="1" si="2"/>
        <v>VariantAllowances</v>
      </c>
      <c r="BB17" s="44" t="str">
        <f t="shared" si="3"/>
        <v>TO variant allowances</v>
      </c>
      <c r="BC17" s="44" t="str">
        <f t="shared" si="1"/>
        <v>Variant allowances</v>
      </c>
    </row>
    <row r="18" spans="5:55" ht="16.5">
      <c r="E18" s="43" t="str">
        <f>NGT_TO!E91</f>
        <v>Decarbonisation and Environmental Policy Re-Opener</v>
      </c>
      <c r="F18" s="150" t="str">
        <f>NGT_TO!F91</f>
        <v>SpC 3.6</v>
      </c>
      <c r="G18" s="43" t="str">
        <f t="shared" si="0"/>
        <v>£m 23/24 prices</v>
      </c>
      <c r="H18" s="43" t="s">
        <v>898</v>
      </c>
      <c r="AU18" s="174">
        <f>NGT_TO!AU91</f>
        <v>111.92495945032526</v>
      </c>
      <c r="AV18" s="50">
        <f>NGT_TO!AV91</f>
        <v>224.74303368309342</v>
      </c>
      <c r="AW18" s="50">
        <f>NGT_TO!AW91</f>
        <v>239.55849453497493</v>
      </c>
      <c r="AX18" s="50">
        <f>NGT_TO!AX91</f>
        <v>113.42545584240882</v>
      </c>
      <c r="AY18" s="50">
        <f>NGT_TO!AY91</f>
        <v>57.451295833539724</v>
      </c>
      <c r="AZ18"/>
      <c r="BA18" s="44" t="str">
        <f t="shared" ca="1" si="2"/>
        <v>VariantAllowances</v>
      </c>
      <c r="BB18" s="44" t="str">
        <f t="shared" si="3"/>
        <v>TO variant allowances</v>
      </c>
      <c r="BC18" s="44" t="str">
        <f t="shared" si="1"/>
        <v>Variant allowances</v>
      </c>
    </row>
    <row r="19" spans="5:55" ht="16.5">
      <c r="E19" s="43" t="str">
        <f>NGT_TO!E92</f>
        <v>Digitalisation Re-opener</v>
      </c>
      <c r="F19" s="150" t="str">
        <f>NGT_TO!F92</f>
        <v>SpC 3.7</v>
      </c>
      <c r="G19" s="43" t="str">
        <f t="shared" si="0"/>
        <v>£m 23/24 prices</v>
      </c>
      <c r="H19" s="43" t="s">
        <v>899</v>
      </c>
      <c r="AU19" s="174">
        <f>NGT_TO!AU92</f>
        <v>0</v>
      </c>
      <c r="AV19" s="50">
        <f>NGT_TO!AV92</f>
        <v>0</v>
      </c>
      <c r="AW19" s="50">
        <f>NGT_TO!AW92</f>
        <v>18.736993307516585</v>
      </c>
      <c r="AX19" s="50">
        <f>NGT_TO!AX92</f>
        <v>20.390050887908291</v>
      </c>
      <c r="AY19" s="50">
        <f>NGT_TO!AY92</f>
        <v>0</v>
      </c>
      <c r="AZ19"/>
      <c r="BA19" s="44" t="str">
        <f t="shared" ca="1" si="2"/>
        <v>VariantAllowances</v>
      </c>
      <c r="BB19" s="44" t="str">
        <f t="shared" si="3"/>
        <v>TO variant allowances</v>
      </c>
      <c r="BC19" s="44" t="str">
        <f t="shared" si="1"/>
        <v>Variant allowances</v>
      </c>
    </row>
    <row r="20" spans="5:55" ht="16.5">
      <c r="E20" s="43" t="str">
        <f>NGT_TO!E93</f>
        <v>Coordinated Adjustment Mechanism Re-opener</v>
      </c>
      <c r="F20" s="150" t="str">
        <f>NGT_TO!F93</f>
        <v>SpC 3.8</v>
      </c>
      <c r="G20" s="43" t="str">
        <f t="shared" si="0"/>
        <v>£m 23/24 prices</v>
      </c>
      <c r="H20" s="43" t="s">
        <v>900</v>
      </c>
      <c r="AU20" s="174">
        <f>NGT_TO!AU93</f>
        <v>0</v>
      </c>
      <c r="AV20" s="50">
        <f>NGT_TO!AV93</f>
        <v>0</v>
      </c>
      <c r="AW20" s="50">
        <f>NGT_TO!AW93</f>
        <v>0</v>
      </c>
      <c r="AX20" s="50">
        <f>NGT_TO!AX93</f>
        <v>0</v>
      </c>
      <c r="AY20" s="50">
        <f>NGT_TO!AY93</f>
        <v>0</v>
      </c>
      <c r="AZ20"/>
      <c r="BA20" s="44" t="str">
        <f t="shared" ca="1" si="2"/>
        <v>VariantAllowances</v>
      </c>
      <c r="BB20" s="44" t="str">
        <f t="shared" si="3"/>
        <v>TO variant allowances</v>
      </c>
      <c r="BC20" s="44" t="str">
        <f t="shared" si="1"/>
        <v>Variant allowances</v>
      </c>
    </row>
    <row r="21" spans="5:55" ht="16.5">
      <c r="E21" s="43" t="str">
        <f>NGT_TO!E94</f>
        <v>Bacton terminal site redevelopment Price Control Deliverable</v>
      </c>
      <c r="F21" s="150" t="str">
        <f>NGT_TO!F94</f>
        <v>SpC 3.9</v>
      </c>
      <c r="G21" s="43" t="str">
        <f t="shared" si="0"/>
        <v>£m 23/24 prices</v>
      </c>
      <c r="H21" s="43" t="s">
        <v>901</v>
      </c>
      <c r="AU21" s="174">
        <f>NGT_TO!AU94</f>
        <v>0</v>
      </c>
      <c r="AV21" s="50">
        <f>NGT_TO!AV94</f>
        <v>0</v>
      </c>
      <c r="AW21" s="50">
        <f>NGT_TO!AW94</f>
        <v>0</v>
      </c>
      <c r="AX21" s="50">
        <f>NGT_TO!AX94</f>
        <v>0</v>
      </c>
      <c r="AY21" s="50">
        <f>NGT_TO!AY94</f>
        <v>0</v>
      </c>
      <c r="AZ21"/>
      <c r="BA21" s="44" t="str">
        <f t="shared" ca="1" si="2"/>
        <v>VariantAllowances</v>
      </c>
      <c r="BB21" s="44" t="str">
        <f t="shared" si="3"/>
        <v>TO variant allowances</v>
      </c>
      <c r="BC21" s="44" t="str">
        <f t="shared" si="1"/>
        <v>Variant allowances</v>
      </c>
    </row>
    <row r="22" spans="5:55" ht="16.5">
      <c r="E22" s="43" t="str">
        <f>NGT_TO!E95</f>
        <v>Compressor Emissions Price Control Deliverable</v>
      </c>
      <c r="F22" s="150" t="str">
        <f>NGT_TO!F95</f>
        <v>SpC 3.10</v>
      </c>
      <c r="G22" s="43" t="str">
        <f t="shared" si="0"/>
        <v>£m 23/24 prices</v>
      </c>
      <c r="H22" s="43" t="s">
        <v>902</v>
      </c>
      <c r="AU22" s="174">
        <f>NGT_TO!AU95</f>
        <v>0</v>
      </c>
      <c r="AV22" s="50">
        <f>NGT_TO!AV95</f>
        <v>0</v>
      </c>
      <c r="AW22" s="50">
        <f>NGT_TO!AW95</f>
        <v>0</v>
      </c>
      <c r="AX22" s="50">
        <f>NGT_TO!AX95</f>
        <v>0</v>
      </c>
      <c r="AY22" s="50">
        <f>NGT_TO!AY95</f>
        <v>0</v>
      </c>
      <c r="AZ22"/>
      <c r="BA22" s="44" t="str">
        <f t="shared" ca="1" si="2"/>
        <v>VariantAllowances</v>
      </c>
      <c r="BB22" s="44" t="str">
        <f t="shared" si="3"/>
        <v>TO variant allowances</v>
      </c>
      <c r="BC22" s="44" t="str">
        <f t="shared" si="1"/>
        <v>Variant allowances</v>
      </c>
    </row>
    <row r="23" spans="5:55" ht="16.5">
      <c r="E23" s="43" t="str">
        <f>NGT_TO!E96</f>
        <v>Funded Incremental Obligated Capacity Price Control Deliverable</v>
      </c>
      <c r="F23" s="150" t="str">
        <f>NGT_TO!F96</f>
        <v>SpC 3.11</v>
      </c>
      <c r="G23" s="43" t="str">
        <f t="shared" si="0"/>
        <v>£m 23/24 prices</v>
      </c>
      <c r="H23" s="43" t="s">
        <v>903</v>
      </c>
      <c r="AU23" s="174">
        <f>NGT_TO!AU96</f>
        <v>0</v>
      </c>
      <c r="AV23" s="50">
        <f>NGT_TO!AV96</f>
        <v>0</v>
      </c>
      <c r="AW23" s="50">
        <f>NGT_TO!AW96</f>
        <v>0</v>
      </c>
      <c r="AX23" s="50">
        <f>NGT_TO!AX96</f>
        <v>0</v>
      </c>
      <c r="AY23" s="50">
        <f>NGT_TO!AY96</f>
        <v>0</v>
      </c>
      <c r="AZ23"/>
      <c r="BA23" s="44" t="str">
        <f t="shared" ca="1" si="2"/>
        <v>VariantAllowances</v>
      </c>
      <c r="BB23" s="44" t="str">
        <f t="shared" si="3"/>
        <v>TO variant allowances</v>
      </c>
      <c r="BC23" s="44" t="str">
        <f t="shared" si="1"/>
        <v>Variant allowances</v>
      </c>
    </row>
    <row r="24" spans="5:55" ht="16.5">
      <c r="E24" s="43" t="str">
        <f>NGT_TO!E97</f>
        <v>Funded Incremental Obligated Capacity Price Control Deliverable - Re-Opener Element</v>
      </c>
      <c r="F24" s="150" t="str">
        <f>NGT_TO!F97</f>
        <v>SpC 3.11</v>
      </c>
      <c r="G24" s="43" t="str">
        <f t="shared" si="0"/>
        <v>£m 23/24 prices</v>
      </c>
      <c r="H24" s="43" t="s">
        <v>904</v>
      </c>
      <c r="AU24" s="174">
        <f>NGT_TO!AU97</f>
        <v>0</v>
      </c>
      <c r="AV24" s="50">
        <f>NGT_TO!AV97</f>
        <v>0</v>
      </c>
      <c r="AW24" s="50">
        <f>NGT_TO!AW97</f>
        <v>0</v>
      </c>
      <c r="AX24" s="50">
        <f>NGT_TO!AX97</f>
        <v>0</v>
      </c>
      <c r="AY24" s="50">
        <f>NGT_TO!AY97</f>
        <v>0</v>
      </c>
      <c r="AZ24"/>
      <c r="BA24" s="44" t="str">
        <f t="shared" ca="1" si="2"/>
        <v>VariantAllowances</v>
      </c>
      <c r="BB24" s="44" t="str">
        <f t="shared" si="3"/>
        <v>TO variant allowances</v>
      </c>
      <c r="BC24" s="44" t="str">
        <f t="shared" si="1"/>
        <v>Variant allowances</v>
      </c>
    </row>
    <row r="25" spans="5:55" ht="16.5">
      <c r="E25" s="43" t="str">
        <f>NGT_TO!E98</f>
        <v>Asset health Re-Opener</v>
      </c>
      <c r="F25" s="150" t="str">
        <f>NGT_TO!F98</f>
        <v>SpC 3.12</v>
      </c>
      <c r="G25" s="43" t="str">
        <f t="shared" si="0"/>
        <v>£m 23/24 prices</v>
      </c>
      <c r="H25" s="43" t="s">
        <v>905</v>
      </c>
      <c r="AU25" s="174">
        <f>NGT_TO!AU98</f>
        <v>123.86000000000001</v>
      </c>
      <c r="AV25" s="50">
        <f>NGT_TO!AV98</f>
        <v>118.13</v>
      </c>
      <c r="AW25" s="50">
        <f>NGT_TO!AW98</f>
        <v>83.28</v>
      </c>
      <c r="AX25" s="50">
        <f>NGT_TO!AX98</f>
        <v>76.88</v>
      </c>
      <c r="AY25" s="50">
        <f>NGT_TO!AY98</f>
        <v>46.6</v>
      </c>
      <c r="AZ25"/>
      <c r="BA25" s="44" t="str">
        <f t="shared" ca="1" si="2"/>
        <v>VariantAllowances</v>
      </c>
      <c r="BB25" s="44" t="str">
        <f t="shared" si="3"/>
        <v>TO variant allowances</v>
      </c>
      <c r="BC25" s="44" t="str">
        <f t="shared" si="1"/>
        <v>Variant allowances</v>
      </c>
    </row>
    <row r="26" spans="5:55" ht="16.5">
      <c r="E26" s="43" t="str">
        <f>NGT_TO!E99</f>
        <v>Redundant assets Price Control Deliverable</v>
      </c>
      <c r="F26" s="150" t="str">
        <f>NGT_TO!F99</f>
        <v>SpC 3.13</v>
      </c>
      <c r="G26" s="43" t="str">
        <f t="shared" si="0"/>
        <v>£m 23/24 prices</v>
      </c>
      <c r="H26" s="43" t="s">
        <v>906</v>
      </c>
      <c r="AU26" s="174">
        <f>NGT_TO!AU99</f>
        <v>1.1030460275854772</v>
      </c>
      <c r="AV26" s="50">
        <f>NGT_TO!AV99</f>
        <v>2.4835798273719027</v>
      </c>
      <c r="AW26" s="50">
        <f>NGT_TO!AW99</f>
        <v>4.760771522397194</v>
      </c>
      <c r="AX26" s="50">
        <f>NGT_TO!AX99</f>
        <v>6.2800726763229537</v>
      </c>
      <c r="AY26" s="50">
        <f>NGT_TO!AY99</f>
        <v>17.384146947357916</v>
      </c>
      <c r="AZ26"/>
      <c r="BA26" s="44" t="str">
        <f t="shared" ca="1" si="2"/>
        <v>VariantAllowances</v>
      </c>
      <c r="BB26" s="44" t="str">
        <f t="shared" si="3"/>
        <v>TO variant allowances</v>
      </c>
      <c r="BC26" s="44" t="str">
        <f t="shared" si="1"/>
        <v>Variant allowances</v>
      </c>
    </row>
    <row r="27" spans="5:55" ht="16.5">
      <c r="E27" s="43" t="str">
        <f>NGT_TO!E100</f>
        <v>Pipeline Diversions Re-opener</v>
      </c>
      <c r="F27" s="150" t="str">
        <f>NGT_TO!F100</f>
        <v>SpC 3.14</v>
      </c>
      <c r="G27" s="43" t="str">
        <f t="shared" si="0"/>
        <v>£m 23/24 prices</v>
      </c>
      <c r="H27" s="43" t="s">
        <v>907</v>
      </c>
      <c r="AU27" s="174">
        <f>NGT_TO!AU100</f>
        <v>0</v>
      </c>
      <c r="AV27" s="50">
        <f>NGT_TO!AV100</f>
        <v>0</v>
      </c>
      <c r="AW27" s="50">
        <f>NGT_TO!AW100</f>
        <v>0</v>
      </c>
      <c r="AX27" s="50">
        <f>NGT_TO!AX100</f>
        <v>0</v>
      </c>
      <c r="AY27" s="50">
        <f>NGT_TO!AY100</f>
        <v>0</v>
      </c>
      <c r="AZ27"/>
      <c r="BA27" s="44" t="str">
        <f t="shared" ca="1" si="2"/>
        <v>VariantAllowances</v>
      </c>
      <c r="BB27" s="44" t="str">
        <f t="shared" si="3"/>
        <v>TO variant allowances</v>
      </c>
      <c r="BC27" s="44" t="str">
        <f t="shared" si="1"/>
        <v>Variant allowances</v>
      </c>
    </row>
    <row r="28" spans="5:55" ht="16.5">
      <c r="E28" s="43" t="str">
        <f>NGT_TO!E101</f>
        <v>Biomethane Connections use it or lose it allowance</v>
      </c>
      <c r="F28" s="150" t="str">
        <f>NGT_TO!F101</f>
        <v>SpC 3.15</v>
      </c>
      <c r="G28" s="43" t="str">
        <f t="shared" si="0"/>
        <v>£m 23/24 prices</v>
      </c>
      <c r="H28" s="43" t="s">
        <v>908</v>
      </c>
      <c r="AU28" s="174">
        <f>NGT_TO!AU101</f>
        <v>4</v>
      </c>
      <c r="AV28" s="50">
        <f>NGT_TO!AV101</f>
        <v>4</v>
      </c>
      <c r="AW28" s="50">
        <f>NGT_TO!AW101</f>
        <v>4</v>
      </c>
      <c r="AX28" s="50">
        <f>NGT_TO!AX101</f>
        <v>4</v>
      </c>
      <c r="AY28" s="50">
        <f>NGT_TO!AY101</f>
        <v>4</v>
      </c>
      <c r="AZ28"/>
      <c r="BA28" s="44" t="str">
        <f t="shared" ca="1" si="2"/>
        <v>VariantAllowances</v>
      </c>
      <c r="BB28" s="44" t="str">
        <f t="shared" si="3"/>
        <v>TO variant allowances</v>
      </c>
      <c r="BC28" s="44" t="str">
        <f t="shared" si="1"/>
        <v>Variant allowances</v>
      </c>
    </row>
    <row r="29" spans="5:55" ht="16.5">
      <c r="E29" s="43" t="str">
        <f>NGT_TO!E102</f>
        <v>Compressor Breakdown Use it or lose it allowance</v>
      </c>
      <c r="F29" s="150" t="str">
        <f>NGT_TO!F102</f>
        <v>SpC 3.16</v>
      </c>
      <c r="G29" s="43" t="str">
        <f t="shared" si="0"/>
        <v>£m 23/24 prices</v>
      </c>
      <c r="H29" s="43" t="s">
        <v>909</v>
      </c>
      <c r="AU29" s="174">
        <f>NGT_TO!AU102</f>
        <v>2.083254347769862</v>
      </c>
      <c r="AV29" s="50">
        <f>NGT_TO!AV102</f>
        <v>4.0254791671583572</v>
      </c>
      <c r="AW29" s="50">
        <f>NGT_TO!AW102</f>
        <v>2.7819269838536234</v>
      </c>
      <c r="AX29" s="50">
        <f>NGT_TO!AX102</f>
        <v>5.3493801699930099</v>
      </c>
      <c r="AY29" s="50">
        <f>NGT_TO!AY102</f>
        <v>5.2958863682930799</v>
      </c>
      <c r="AZ29"/>
      <c r="BA29" s="44" t="str">
        <f t="shared" ca="1" si="2"/>
        <v>VariantAllowances</v>
      </c>
      <c r="BB29" s="44" t="str">
        <f t="shared" si="3"/>
        <v>TO variant allowances</v>
      </c>
      <c r="BC29" s="44" t="str">
        <f t="shared" si="1"/>
        <v>Variant allowances</v>
      </c>
    </row>
    <row r="30" spans="5:55" ht="16.5">
      <c r="E30" s="43" t="str">
        <f>NGT_TO!E103</f>
        <v>Nitrogen Sleeves Price Control Deliverable</v>
      </c>
      <c r="F30" s="150" t="str">
        <f>NGT_TO!F103</f>
        <v>SpC 3.17</v>
      </c>
      <c r="G30" s="43" t="str">
        <f t="shared" si="0"/>
        <v>£m 23/24 prices</v>
      </c>
      <c r="H30" s="43" t="s">
        <v>910</v>
      </c>
      <c r="AU30" s="174">
        <f>NGT_TO!AU103</f>
        <v>4.4042626300332515</v>
      </c>
      <c r="AV30" s="50">
        <f>NGT_TO!AV103</f>
        <v>4.3747000666272582</v>
      </c>
      <c r="AW30" s="50">
        <f>NGT_TO!AW103</f>
        <v>4.4657211919893429</v>
      </c>
      <c r="AX30" s="50">
        <f>NGT_TO!AX103</f>
        <v>6.604381086076887</v>
      </c>
      <c r="AY30" s="50">
        <f>NGT_TO!AY103</f>
        <v>14.511451759625936</v>
      </c>
      <c r="AZ30"/>
      <c r="BA30" s="44" t="str">
        <f t="shared" ca="1" si="2"/>
        <v>VariantAllowances</v>
      </c>
      <c r="BB30" s="44" t="str">
        <f t="shared" si="3"/>
        <v>TO variant allowances</v>
      </c>
      <c r="BC30" s="44" t="str">
        <f t="shared" si="1"/>
        <v>Variant allowances</v>
      </c>
    </row>
    <row r="31" spans="5:55" ht="16.5">
      <c r="E31" s="43" t="str">
        <f>NGT_TO!E104</f>
        <v>West Import Resilience Project Price Control Deliverable</v>
      </c>
      <c r="F31" s="150" t="str">
        <f>NGT_TO!F104</f>
        <v>SpC 3.18</v>
      </c>
      <c r="G31" s="43" t="str">
        <f t="shared" si="0"/>
        <v>£m 23/24 prices</v>
      </c>
      <c r="H31" s="43" t="s">
        <v>911</v>
      </c>
      <c r="AU31" s="174">
        <f>NGT_TO!AU104</f>
        <v>13.53437834975127</v>
      </c>
      <c r="AV31" s="50">
        <f>NGT_TO!AV104</f>
        <v>19.863778311413519</v>
      </c>
      <c r="AW31" s="50">
        <f>NGT_TO!AW104</f>
        <v>42.782035483739442</v>
      </c>
      <c r="AX31" s="50">
        <f>NGT_TO!AX104</f>
        <v>7.1276774703137251</v>
      </c>
      <c r="AY31" s="50">
        <f>NGT_TO!AY104</f>
        <v>1.9998726852021576E-2</v>
      </c>
      <c r="AZ31"/>
      <c r="BA31" s="44" t="str">
        <f t="shared" ca="1" si="2"/>
        <v>VariantAllowances</v>
      </c>
      <c r="BB31" s="44" t="str">
        <f t="shared" si="3"/>
        <v>TO variant allowances</v>
      </c>
      <c r="BC31" s="44" t="str">
        <f t="shared" si="1"/>
        <v>Variant allowances</v>
      </c>
    </row>
    <row r="32" spans="5:55" ht="16.5">
      <c r="E32" s="43" t="str">
        <f>NGT_TO!E105</f>
        <v>West Import Resilience Project Re-opener</v>
      </c>
      <c r="F32" s="150" t="str">
        <f>NGT_TO!F105</f>
        <v>SpC 3.18</v>
      </c>
      <c r="G32" s="43" t="str">
        <f t="shared" si="0"/>
        <v>£m 23/24 prices</v>
      </c>
      <c r="H32" s="43" t="s">
        <v>912</v>
      </c>
      <c r="AU32" s="174">
        <f>NGT_TO!AU105</f>
        <v>0</v>
      </c>
      <c r="AV32" s="50">
        <f>NGT_TO!AV105</f>
        <v>0</v>
      </c>
      <c r="AW32" s="50">
        <f>NGT_TO!AW105</f>
        <v>4.1438633008999997</v>
      </c>
      <c r="AX32" s="50">
        <f>NGT_TO!AX105</f>
        <v>5.5312558833999992</v>
      </c>
      <c r="AY32" s="50">
        <f>NGT_TO!AY105</f>
        <v>8.7157826651000008</v>
      </c>
      <c r="AZ32"/>
      <c r="BA32" s="44" t="str">
        <f t="shared" ca="1" si="2"/>
        <v>VariantAllowances</v>
      </c>
      <c r="BB32" s="44" t="str">
        <f t="shared" si="3"/>
        <v>TO variant allowances</v>
      </c>
      <c r="BC32" s="44" t="str">
        <f t="shared" si="1"/>
        <v>Variant allowances</v>
      </c>
    </row>
    <row r="33" spans="5:55" ht="16.5">
      <c r="E33" s="43" t="str">
        <f>NGT_TO!E106</f>
        <v>Gas strategic planning re-opener</v>
      </c>
      <c r="F33" s="150" t="str">
        <f>NGT_TO!F106</f>
        <v>SpC 3.19</v>
      </c>
      <c r="G33" s="43" t="str">
        <f t="shared" si="0"/>
        <v>£m 23/24 prices</v>
      </c>
      <c r="H33" s="43" t="s">
        <v>913</v>
      </c>
      <c r="AU33" s="174">
        <f>NGT_TO!AU106</f>
        <v>0</v>
      </c>
      <c r="AV33" s="50">
        <f>NGT_TO!AV106</f>
        <v>53.986377270000006</v>
      </c>
      <c r="AW33" s="50">
        <f>NGT_TO!AW106</f>
        <v>92.791417719999998</v>
      </c>
      <c r="AX33" s="50">
        <f>NGT_TO!AX106</f>
        <v>26.203052849999999</v>
      </c>
      <c r="AY33" s="50">
        <f>NGT_TO!AY106</f>
        <v>45.592342440000003</v>
      </c>
      <c r="AZ33"/>
      <c r="BA33" s="44" t="str">
        <f t="shared" ca="1" si="2"/>
        <v>VariantAllowances</v>
      </c>
      <c r="BB33" s="44" t="str">
        <f t="shared" si="3"/>
        <v>TO variant allowances</v>
      </c>
      <c r="BC33" s="44" t="str">
        <f t="shared" si="1"/>
        <v>Variant allowances</v>
      </c>
    </row>
    <row r="34" spans="5:55" ht="16.5">
      <c r="E34" s="43" t="str">
        <f>NGT_TO!E107</f>
        <v>Office and Gas National Control Centre and Emergency Control Room Relocation Re-opener</v>
      </c>
      <c r="F34" s="150" t="str">
        <f>NGT_TO!F107</f>
        <v>SpC 3.20</v>
      </c>
      <c r="G34" s="43" t="str">
        <f t="shared" si="0"/>
        <v>£m 23/24 prices</v>
      </c>
      <c r="H34" s="43" t="s">
        <v>914</v>
      </c>
      <c r="AU34" s="174">
        <f>NGT_TO!AU107</f>
        <v>3.9774560287488208</v>
      </c>
      <c r="AV34" s="50">
        <f>NGT_TO!AV107</f>
        <v>15.031516864081985</v>
      </c>
      <c r="AW34" s="50">
        <f>NGT_TO!AW107</f>
        <v>26.36441548472056</v>
      </c>
      <c r="AX34" s="50">
        <f>NGT_TO!AX107</f>
        <v>10.117415717943929</v>
      </c>
      <c r="AY34" s="50">
        <f>NGT_TO!AY107</f>
        <v>2.8336896206507531</v>
      </c>
      <c r="AZ34"/>
      <c r="BA34" s="44" t="str">
        <f t="shared" ca="1" si="2"/>
        <v>VariantAllowances</v>
      </c>
      <c r="BB34" s="44" t="str">
        <f t="shared" si="3"/>
        <v>TO variant allowances</v>
      </c>
      <c r="BC34" s="44" t="str">
        <f t="shared" si="1"/>
        <v>Variant allowances</v>
      </c>
    </row>
    <row r="35" spans="5:55" ht="16.5">
      <c r="E35" s="43" t="str">
        <f>NGT_TO!E108</f>
        <v>Network capability re-opener</v>
      </c>
      <c r="F35" s="150" t="str">
        <f>NGT_TO!F108</f>
        <v>SpC 3.21</v>
      </c>
      <c r="G35" s="43" t="str">
        <f t="shared" si="0"/>
        <v>£m 23/24 prices</v>
      </c>
      <c r="H35" s="43" t="s">
        <v>915</v>
      </c>
      <c r="AU35" s="174">
        <f>NGT_TO!AU108</f>
        <v>33.394580180000005</v>
      </c>
      <c r="AV35" s="50">
        <f>NGT_TO!AV108</f>
        <v>85.826577400000005</v>
      </c>
      <c r="AW35" s="50">
        <f>NGT_TO!AW108</f>
        <v>48.465610490000003</v>
      </c>
      <c r="AX35" s="50">
        <f>NGT_TO!AX108</f>
        <v>39.579892129999998</v>
      </c>
      <c r="AY35" s="50">
        <f>NGT_TO!AY108</f>
        <v>31.828356120000002</v>
      </c>
      <c r="AZ35"/>
      <c r="BA35" s="44" t="str">
        <f t="shared" ca="1" si="2"/>
        <v>VariantAllowances</v>
      </c>
      <c r="BB35" s="44" t="str">
        <f t="shared" si="3"/>
        <v>TO variant allowances</v>
      </c>
      <c r="BC35" s="44" t="str">
        <f t="shared" si="1"/>
        <v>Variant allowances</v>
      </c>
    </row>
    <row r="36" spans="5:55" ht="16.5">
      <c r="E36" s="43" t="str">
        <f>NGT_TO!E109</f>
        <v>Bacton Enhanced Filtration re-opener</v>
      </c>
      <c r="F36" s="150" t="str">
        <f>NGT_TO!F109</f>
        <v>SpC 3.22</v>
      </c>
      <c r="G36" s="43" t="str">
        <f t="shared" si="0"/>
        <v>£m 23/24 prices</v>
      </c>
      <c r="H36" s="43" t="s">
        <v>916</v>
      </c>
      <c r="AU36" s="174">
        <f>NGT_TO!AU109</f>
        <v>0</v>
      </c>
      <c r="AV36" s="50">
        <f>NGT_TO!AV109</f>
        <v>0</v>
      </c>
      <c r="AW36" s="50">
        <f>NGT_TO!AW109</f>
        <v>0</v>
      </c>
      <c r="AX36" s="50">
        <f>NGT_TO!AX109</f>
        <v>0</v>
      </c>
      <c r="AY36" s="50">
        <f>NGT_TO!AY109</f>
        <v>0</v>
      </c>
      <c r="AZ36"/>
      <c r="BA36" s="44" t="str">
        <f t="shared" ca="1" si="2"/>
        <v>VariantAllowances</v>
      </c>
      <c r="BB36" s="44" t="str">
        <f t="shared" si="3"/>
        <v>TO variant allowances</v>
      </c>
      <c r="BC36" s="44" t="str">
        <f t="shared" si="1"/>
        <v>Variant allowances</v>
      </c>
    </row>
    <row r="37" spans="5:55" ht="16.5">
      <c r="E37" s="43" t="str">
        <f>NGT_TO!E110</f>
        <v>Network decarbonisation and emissions compliance Re-opener</v>
      </c>
      <c r="F37" s="150" t="str">
        <f>NGT_TO!F110</f>
        <v>SpC 3.23</v>
      </c>
      <c r="G37" s="43" t="str">
        <f t="shared" si="0"/>
        <v>£m 23/24 prices</v>
      </c>
      <c r="H37" s="43" t="s">
        <v>917</v>
      </c>
      <c r="AU37" s="174">
        <f>NGT_TO!AU110</f>
        <v>0</v>
      </c>
      <c r="AV37" s="50">
        <f>NGT_TO!AV110</f>
        <v>0</v>
      </c>
      <c r="AW37" s="50">
        <f>NGT_TO!AW110</f>
        <v>0</v>
      </c>
      <c r="AX37" s="50">
        <f>NGT_TO!AX110</f>
        <v>0</v>
      </c>
      <c r="AY37" s="50">
        <f>NGT_TO!AY110</f>
        <v>0</v>
      </c>
      <c r="AZ37"/>
      <c r="BA37" s="44" t="str">
        <f t="shared" ca="1" si="2"/>
        <v>VariantAllowances</v>
      </c>
      <c r="BB37" s="44" t="str">
        <f t="shared" si="3"/>
        <v>TO variant allowances</v>
      </c>
      <c r="BC37" s="44" t="str">
        <f t="shared" si="1"/>
        <v>Variant allowances</v>
      </c>
    </row>
    <row r="38" spans="5:55" ht="16.5">
      <c r="E38" s="43" t="str">
        <f>NGT_TO!E111</f>
        <v>Compressor acoustic building replacement Price Control Deliverable</v>
      </c>
      <c r="F38" s="150" t="str">
        <f>NGT_TO!F111</f>
        <v>SpC 3.24</v>
      </c>
      <c r="G38" s="43" t="str">
        <f t="shared" si="0"/>
        <v>£m 23/24 prices</v>
      </c>
      <c r="H38" s="43" t="s">
        <v>918</v>
      </c>
      <c r="AU38" s="174">
        <f>NGT_TO!AU111</f>
        <v>3.2074449408658041</v>
      </c>
      <c r="AV38" s="50">
        <f>NGT_TO!AV111</f>
        <v>1.6597520309532998</v>
      </c>
      <c r="AW38" s="50">
        <f>NGT_TO!AW111</f>
        <v>12.367383920493083</v>
      </c>
      <c r="AX38" s="50">
        <f>NGT_TO!AX111</f>
        <v>26.338365265452634</v>
      </c>
      <c r="AY38" s="50">
        <f>NGT_TO!AY111</f>
        <v>8.3818294118541861</v>
      </c>
      <c r="AZ38"/>
      <c r="BA38" s="44" t="str">
        <f t="shared" ca="1" si="2"/>
        <v>VariantAllowances</v>
      </c>
      <c r="BB38" s="44" t="str">
        <f t="shared" si="3"/>
        <v>TO variant allowances</v>
      </c>
      <c r="BC38" s="44" t="str">
        <f t="shared" si="1"/>
        <v>Variant allowances</v>
      </c>
    </row>
    <row r="39" spans="5:55" ht="16.5">
      <c r="E39" s="43" t="str">
        <f>NGT_TO!E112</f>
        <v>Easement Reinstatement Price Control Deliverable</v>
      </c>
      <c r="F39" s="150" t="str">
        <f>NGT_TO!F112</f>
        <v>SpC 3.25</v>
      </c>
      <c r="G39" s="43" t="str">
        <f t="shared" si="0"/>
        <v>£m 23/24 prices</v>
      </c>
      <c r="H39" s="43" t="s">
        <v>919</v>
      </c>
      <c r="AU39" s="174">
        <f>NGT_TO!AU112</f>
        <v>3.9755755353169109</v>
      </c>
      <c r="AV39" s="50">
        <f>NGT_TO!AV112</f>
        <v>3.935819779963742</v>
      </c>
      <c r="AW39" s="50">
        <f>NGT_TO!AW112</f>
        <v>3.8964615821641044</v>
      </c>
      <c r="AX39" s="50">
        <f>NGT_TO!AX112</f>
        <v>3.8574969663424632</v>
      </c>
      <c r="AY39" s="50">
        <f>NGT_TO!AY112</f>
        <v>3.8189219966790389</v>
      </c>
      <c r="AZ39"/>
      <c r="BA39" s="44" t="str">
        <f t="shared" ca="1" si="2"/>
        <v>VariantAllowances</v>
      </c>
      <c r="BB39" s="44" t="str">
        <f t="shared" si="3"/>
        <v>TO variant allowances</v>
      </c>
      <c r="BC39" s="44" t="str">
        <f t="shared" si="1"/>
        <v>Variant allowances</v>
      </c>
    </row>
    <row r="40" spans="5:55" ht="16.5">
      <c r="E40" s="43" t="str">
        <f>NGT_TO!E113</f>
        <v>Removal and remediation of pipe stabbings Price Control Deliverable</v>
      </c>
      <c r="F40" s="150" t="str">
        <f>NGT_TO!F113</f>
        <v>SpC 3.26</v>
      </c>
      <c r="G40" s="43" t="str">
        <f t="shared" si="0"/>
        <v>£m 23/24 prices</v>
      </c>
      <c r="H40" s="43" t="s">
        <v>920</v>
      </c>
      <c r="AU40" s="174">
        <f>NGT_TO!AU113</f>
        <v>3.5413061693755865</v>
      </c>
      <c r="AV40" s="50">
        <f>NGT_TO!AV113</f>
        <v>3.5058931076818305</v>
      </c>
      <c r="AW40" s="50">
        <f>NGT_TO!AW113</f>
        <v>3.4708341766050124</v>
      </c>
      <c r="AX40" s="50">
        <f>NGT_TO!AX113</f>
        <v>3.4361258348389621</v>
      </c>
      <c r="AY40" s="50">
        <f>NGT_TO!AY113</f>
        <v>3.4017645764905726</v>
      </c>
      <c r="AZ40"/>
      <c r="BA40" s="44" t="str">
        <f t="shared" ca="1" si="2"/>
        <v>VariantAllowances</v>
      </c>
      <c r="BB40" s="44" t="str">
        <f t="shared" si="3"/>
        <v>TO variant allowances</v>
      </c>
      <c r="BC40" s="44" t="str">
        <f t="shared" si="1"/>
        <v>Variant allowances</v>
      </c>
    </row>
    <row r="41" spans="5:55" ht="16.5">
      <c r="E41" s="43" t="str">
        <f>NGT_TO!E114</f>
        <v>Actuator replacement Price Control Deliverable</v>
      </c>
      <c r="F41" s="150" t="str">
        <f>NGT_TO!F114</f>
        <v>SpC 3.27</v>
      </c>
      <c r="G41" s="43" t="str">
        <f t="shared" si="0"/>
        <v>£m 23/24 prices</v>
      </c>
      <c r="H41" s="43" t="s">
        <v>921</v>
      </c>
      <c r="AU41" s="174">
        <f>NGT_TO!AU114</f>
        <v>8.011899769144798E-2</v>
      </c>
      <c r="AV41" s="50">
        <f>NGT_TO!AV114</f>
        <v>7.9317837823978457E-2</v>
      </c>
      <c r="AW41" s="50">
        <f>NGT_TO!AW114</f>
        <v>0.43679326633063581</v>
      </c>
      <c r="AX41" s="50">
        <f>NGT_TO!AX114</f>
        <v>1.6130926654239712</v>
      </c>
      <c r="AY41" s="50">
        <f>NGT_TO!AY114</f>
        <v>7.171895416412335</v>
      </c>
      <c r="AZ41"/>
      <c r="BA41" s="44" t="str">
        <f t="shared" ca="1" si="2"/>
        <v>VariantAllowances</v>
      </c>
      <c r="BB41" s="44" t="str">
        <f t="shared" si="3"/>
        <v>TO variant allowances</v>
      </c>
      <c r="BC41" s="44" t="str">
        <f t="shared" si="1"/>
        <v>Variant allowances</v>
      </c>
    </row>
    <row r="42" spans="5:55" ht="16.5">
      <c r="E42" s="43" t="str">
        <f>NGT_TO!E115</f>
        <v>GT2/GT3 Crossover Adjustment</v>
      </c>
      <c r="F42" s="150" t="str">
        <f>NGT_TO!F115</f>
        <v>SpC 3.28</v>
      </c>
      <c r="G42" s="43" t="str">
        <f t="shared" si="0"/>
        <v>£m 23/24 prices</v>
      </c>
      <c r="H42" s="43" t="s">
        <v>922</v>
      </c>
      <c r="AU42" s="174">
        <f>NGT_TO!AU115</f>
        <v>0</v>
      </c>
      <c r="AV42" s="50">
        <f>NGT_TO!AV115</f>
        <v>0</v>
      </c>
      <c r="AW42" s="50">
        <f>NGT_TO!AW115</f>
        <v>0</v>
      </c>
      <c r="AX42" s="50">
        <f>NGT_TO!AX115</f>
        <v>0</v>
      </c>
      <c r="AY42" s="50">
        <f>NGT_TO!AY115</f>
        <v>0</v>
      </c>
      <c r="AZ42"/>
      <c r="BA42" s="44" t="str">
        <f t="shared" ca="1" si="2"/>
        <v>VariantAllowances</v>
      </c>
      <c r="BB42" s="44" t="str">
        <f t="shared" si="3"/>
        <v>TO variant allowances</v>
      </c>
      <c r="BC42" s="44" t="str">
        <f t="shared" si="1"/>
        <v>Variant allowances</v>
      </c>
    </row>
    <row r="43" spans="5:55">
      <c r="E43" s="43" t="str">
        <f>NGT_TO!E116</f>
        <v>Spare 1</v>
      </c>
      <c r="F43" s="150">
        <f>NGT_TO!F116</f>
        <v>0</v>
      </c>
      <c r="G43" s="43" t="str">
        <f t="shared" si="0"/>
        <v>£m 23/24 prices</v>
      </c>
      <c r="H43" s="43">
        <f>NGT_TO!H116</f>
        <v>0</v>
      </c>
      <c r="AU43" s="174">
        <f>NGT_TO!AU116</f>
        <v>0</v>
      </c>
      <c r="AV43" s="50">
        <f>NGT_TO!AV116</f>
        <v>0</v>
      </c>
      <c r="AW43" s="50">
        <f>NGT_TO!AW116</f>
        <v>0</v>
      </c>
      <c r="AX43" s="50">
        <f>NGT_TO!AX116</f>
        <v>0</v>
      </c>
      <c r="AY43" s="50">
        <f>NGT_TO!AY116</f>
        <v>0</v>
      </c>
      <c r="AZ43"/>
      <c r="BA43" s="44" t="str">
        <f t="shared" ca="1" si="2"/>
        <v>VariantAllowances</v>
      </c>
      <c r="BB43" s="44" t="str">
        <f t="shared" si="3"/>
        <v>TO variant allowances</v>
      </c>
      <c r="BC43" s="44" t="str">
        <f t="shared" si="1"/>
        <v>Variant allowances</v>
      </c>
    </row>
    <row r="44" spans="5:55">
      <c r="E44" s="43" t="str">
        <f>NGT_TO!E117</f>
        <v>Spare 2</v>
      </c>
      <c r="F44" s="150">
        <f>NGT_TO!F117</f>
        <v>0</v>
      </c>
      <c r="G44" s="43" t="str">
        <f t="shared" si="0"/>
        <v>£m 23/24 prices</v>
      </c>
      <c r="H44" s="43">
        <f>NGT_TO!H117</f>
        <v>0</v>
      </c>
      <c r="AU44" s="174">
        <f>NGT_TO!AU117</f>
        <v>0</v>
      </c>
      <c r="AV44" s="50">
        <f>NGT_TO!AV117</f>
        <v>0</v>
      </c>
      <c r="AW44" s="50">
        <f>NGT_TO!AW117</f>
        <v>0</v>
      </c>
      <c r="AX44" s="50">
        <f>NGT_TO!AX117</f>
        <v>0</v>
      </c>
      <c r="AY44" s="50">
        <f>NGT_TO!AY117</f>
        <v>0</v>
      </c>
      <c r="AZ44"/>
      <c r="BA44" s="44" t="str">
        <f t="shared" ca="1" si="2"/>
        <v>VariantAllowances</v>
      </c>
      <c r="BB44" s="44" t="str">
        <f t="shared" si="3"/>
        <v>TO variant allowances</v>
      </c>
      <c r="BC44" s="44" t="str">
        <f t="shared" si="1"/>
        <v>Variant allowances</v>
      </c>
    </row>
    <row r="45" spans="5:55">
      <c r="E45" s="43" t="str">
        <f>NGT_TO!E118</f>
        <v>Spare 3</v>
      </c>
      <c r="F45" s="150">
        <f>NGT_TO!F118</f>
        <v>0</v>
      </c>
      <c r="G45" s="43" t="str">
        <f t="shared" si="0"/>
        <v>£m 23/24 prices</v>
      </c>
      <c r="H45" s="43">
        <f>NGT_TO!H118</f>
        <v>0</v>
      </c>
      <c r="AU45" s="174">
        <f>NGT_TO!AU118</f>
        <v>0</v>
      </c>
      <c r="AV45" s="50">
        <f>NGT_TO!AV118</f>
        <v>0</v>
      </c>
      <c r="AW45" s="50">
        <f>NGT_TO!AW118</f>
        <v>0</v>
      </c>
      <c r="AX45" s="50">
        <f>NGT_TO!AX118</f>
        <v>0</v>
      </c>
      <c r="AY45" s="50">
        <f>NGT_TO!AY118</f>
        <v>0</v>
      </c>
      <c r="AZ45"/>
      <c r="BA45" s="44" t="str">
        <f t="shared" ca="1" si="2"/>
        <v>VariantAllowances</v>
      </c>
      <c r="BB45" s="44" t="str">
        <f t="shared" si="3"/>
        <v>TO variant allowances</v>
      </c>
      <c r="BC45" s="44" t="str">
        <f t="shared" si="1"/>
        <v>Variant allowances</v>
      </c>
    </row>
    <row r="46" spans="5:55">
      <c r="E46" s="43" t="str">
        <f>NGT_TO!E119</f>
        <v>Spare 4</v>
      </c>
      <c r="F46" s="150">
        <f>NGT_TO!F119</f>
        <v>0</v>
      </c>
      <c r="G46" s="43" t="str">
        <f t="shared" si="0"/>
        <v>£m 23/24 prices</v>
      </c>
      <c r="H46" s="43">
        <f>NGT_TO!H119</f>
        <v>0</v>
      </c>
      <c r="AU46" s="174">
        <f>NGT_TO!AU119</f>
        <v>0</v>
      </c>
      <c r="AV46" s="50">
        <f>NGT_TO!AV119</f>
        <v>0</v>
      </c>
      <c r="AW46" s="50">
        <f>NGT_TO!AW119</f>
        <v>0</v>
      </c>
      <c r="AX46" s="50">
        <f>NGT_TO!AX119</f>
        <v>0</v>
      </c>
      <c r="AY46" s="50">
        <f>NGT_TO!AY119</f>
        <v>0</v>
      </c>
      <c r="AZ46"/>
      <c r="BA46" s="44" t="str">
        <f t="shared" ca="1" si="2"/>
        <v>VariantAllowances</v>
      </c>
      <c r="BB46" s="44" t="str">
        <f t="shared" si="3"/>
        <v>TO variant allowances</v>
      </c>
      <c r="BC46" s="44" t="str">
        <f t="shared" si="1"/>
        <v>Variant allowances</v>
      </c>
    </row>
    <row r="47" spans="5:55">
      <c r="E47" s="43" t="str">
        <f>NGT_TO!E120</f>
        <v>Spare 5</v>
      </c>
      <c r="F47" s="150">
        <f>NGT_TO!F120</f>
        <v>0</v>
      </c>
      <c r="G47" s="43" t="str">
        <f t="shared" si="0"/>
        <v>£m 23/24 prices</v>
      </c>
      <c r="H47" s="43">
        <f>NGT_TO!H120</f>
        <v>0</v>
      </c>
      <c r="AU47" s="174">
        <f>NGT_TO!AU120</f>
        <v>0</v>
      </c>
      <c r="AV47" s="50">
        <f>NGT_TO!AV120</f>
        <v>0</v>
      </c>
      <c r="AW47" s="50">
        <f>NGT_TO!AW120</f>
        <v>0</v>
      </c>
      <c r="AX47" s="50">
        <f>NGT_TO!AX120</f>
        <v>0</v>
      </c>
      <c r="AY47" s="50">
        <f>NGT_TO!AY120</f>
        <v>0</v>
      </c>
      <c r="AZ47"/>
      <c r="BA47" s="44" t="str">
        <f t="shared" ca="1" si="2"/>
        <v>VariantAllowances</v>
      </c>
      <c r="BB47" s="44" t="str">
        <f t="shared" si="3"/>
        <v>TO variant allowances</v>
      </c>
      <c r="BC47" s="44" t="str">
        <f t="shared" si="1"/>
        <v>Variant allowances</v>
      </c>
    </row>
    <row r="48" spans="5:55">
      <c r="E48" s="43" t="str">
        <f>NGT_TO!E121</f>
        <v>Spare 6</v>
      </c>
      <c r="F48" s="150">
        <f>NGT_TO!F121</f>
        <v>0</v>
      </c>
      <c r="G48" s="43" t="str">
        <f t="shared" si="0"/>
        <v>£m 23/24 prices</v>
      </c>
      <c r="H48" s="43">
        <f>NGT_TO!H121</f>
        <v>0</v>
      </c>
      <c r="AU48" s="174">
        <f>NGT_TO!AU121</f>
        <v>0</v>
      </c>
      <c r="AV48" s="50">
        <f>NGT_TO!AV121</f>
        <v>0</v>
      </c>
      <c r="AW48" s="50">
        <f>NGT_TO!AW121</f>
        <v>0</v>
      </c>
      <c r="AX48" s="50">
        <f>NGT_TO!AX121</f>
        <v>0</v>
      </c>
      <c r="AY48" s="50">
        <f>NGT_TO!AY121</f>
        <v>0</v>
      </c>
      <c r="AZ48"/>
      <c r="BA48" s="44" t="str">
        <f t="shared" ca="1" si="2"/>
        <v>VariantAllowances</v>
      </c>
      <c r="BB48" s="44" t="str">
        <f t="shared" si="3"/>
        <v>TO variant allowances</v>
      </c>
      <c r="BC48" s="44" t="str">
        <f t="shared" si="1"/>
        <v>Variant allowances</v>
      </c>
    </row>
    <row r="49" spans="2:55">
      <c r="E49" s="43" t="str">
        <f>NGT_TO!E122</f>
        <v>Spare 7</v>
      </c>
      <c r="F49" s="150">
        <f>NGT_TO!F122</f>
        <v>0</v>
      </c>
      <c r="G49" s="43" t="str">
        <f t="shared" si="0"/>
        <v>£m 23/24 prices</v>
      </c>
      <c r="H49" s="43">
        <f>NGT_TO!H122</f>
        <v>0</v>
      </c>
      <c r="AU49" s="174">
        <f>NGT_TO!AU122</f>
        <v>0</v>
      </c>
      <c r="AV49" s="50">
        <f>NGT_TO!AV122</f>
        <v>0</v>
      </c>
      <c r="AW49" s="50">
        <f>NGT_TO!AW122</f>
        <v>0</v>
      </c>
      <c r="AX49" s="50">
        <f>NGT_TO!AX122</f>
        <v>0</v>
      </c>
      <c r="AY49" s="50">
        <f>NGT_TO!AY122</f>
        <v>0</v>
      </c>
      <c r="AZ49"/>
      <c r="BA49" s="44" t="str">
        <f t="shared" ca="1" si="2"/>
        <v>VariantAllowances</v>
      </c>
      <c r="BB49" s="44" t="str">
        <f t="shared" si="3"/>
        <v>TO variant allowances</v>
      </c>
      <c r="BC49" s="44" t="str">
        <f t="shared" si="1"/>
        <v>Variant allowances</v>
      </c>
    </row>
    <row r="50" spans="2:55">
      <c r="E50" s="43" t="str">
        <f>NGT_TO!E123</f>
        <v>Spare 8</v>
      </c>
      <c r="F50" s="150">
        <f>NGT_TO!F123</f>
        <v>0</v>
      </c>
      <c r="G50" s="43" t="str">
        <f t="shared" si="0"/>
        <v>£m 23/24 prices</v>
      </c>
      <c r="H50" s="43">
        <f>NGT_TO!H123</f>
        <v>0</v>
      </c>
      <c r="AU50" s="174">
        <f>NGT_TO!AU123</f>
        <v>0</v>
      </c>
      <c r="AV50" s="50">
        <f>NGT_TO!AV123</f>
        <v>0</v>
      </c>
      <c r="AW50" s="50">
        <f>NGT_TO!AW123</f>
        <v>0</v>
      </c>
      <c r="AX50" s="50">
        <f>NGT_TO!AX123</f>
        <v>0</v>
      </c>
      <c r="AY50" s="50">
        <f>NGT_TO!AY123</f>
        <v>0</v>
      </c>
      <c r="AZ50"/>
      <c r="BA50" s="44" t="str">
        <f t="shared" ca="1" si="2"/>
        <v>VariantAllowances</v>
      </c>
      <c r="BB50" s="44" t="str">
        <f t="shared" si="3"/>
        <v>TO variant allowances</v>
      </c>
      <c r="BC50" s="44" t="str">
        <f t="shared" si="1"/>
        <v>Variant allowances</v>
      </c>
    </row>
    <row r="51" spans="2:55">
      <c r="AZ51"/>
    </row>
    <row r="52" spans="2:55" ht="17.5" thickBot="1">
      <c r="B52" s="11" t="s">
        <v>59</v>
      </c>
      <c r="AU52" s="43" t="str">
        <f>NGT_TO!AU127</f>
        <v>TIM applies</v>
      </c>
      <c r="AV52" s="43" t="str">
        <f>NGT_TO!AV127</f>
        <v>RPEs apply</v>
      </c>
      <c r="AW52" s="43" t="str">
        <f>NGT_TO!AW127</f>
        <v>Cap rate</v>
      </c>
      <c r="AZ52"/>
    </row>
    <row r="53" spans="2:55" ht="17" thickTop="1">
      <c r="E53" s="43" t="str">
        <f>NGT_TO!E128</f>
        <v>Baseline Network Risk Output</v>
      </c>
      <c r="F53" s="150" t="str">
        <f>NGT_TO!F128</f>
        <v>SpC 3.1</v>
      </c>
      <c r="G53" s="43" t="s">
        <v>148</v>
      </c>
      <c r="H53" s="43" t="s">
        <v>889</v>
      </c>
      <c r="AU53" s="174" t="b">
        <f>NGT_TO!AU128</f>
        <v>1</v>
      </c>
      <c r="AV53" s="50" t="b">
        <f>NGT_TO!AV128</f>
        <v>1</v>
      </c>
      <c r="AW53" s="49">
        <f>NGT_TO!AW128</f>
        <v>1</v>
      </c>
      <c r="AX53"/>
      <c r="AY53" s="54">
        <f>IF(AND(AW53=1,AV53=TRUE),1,IF(AND(AW53=2,AV53=TRUE),2,IF(AND(AW53=1,AV53=FALSE),1.5,IF(AND(AW53=2,AV53=FALSE),2.5,0))))</f>
        <v>1</v>
      </c>
      <c r="AZ53"/>
      <c r="BA53" s="44" t="str">
        <f ca="1">$A$1</f>
        <v>VariantAllowances</v>
      </c>
      <c r="BB53" s="44" t="str">
        <f t="shared" ref="BB53:BB95" si="4">$A$6</f>
        <v>TO variant allowances</v>
      </c>
      <c r="BC53" s="44" t="str">
        <f t="shared" ref="BC53:BC93" si="5">$B$52</f>
        <v>Variant attributes</v>
      </c>
    </row>
    <row r="54" spans="2:55" ht="16.5">
      <c r="E54" s="43" t="str">
        <f>NGT_TO!E129</f>
        <v>NARM Asset Health Re-opener</v>
      </c>
      <c r="F54" s="150" t="str">
        <f>NGT_TO!F129</f>
        <v>SpC 3.1</v>
      </c>
      <c r="G54" s="43" t="s">
        <v>148</v>
      </c>
      <c r="H54" s="43" t="s">
        <v>890</v>
      </c>
      <c r="AU54" s="174" t="b">
        <f>NGT_TO!AU129</f>
        <v>1</v>
      </c>
      <c r="AV54" s="50" t="b">
        <f>NGT_TO!AV129</f>
        <v>0</v>
      </c>
      <c r="AW54" s="49">
        <f>NGT_TO!AW129</f>
        <v>2</v>
      </c>
      <c r="AX54"/>
      <c r="AY54" s="54">
        <f t="shared" ref="AY54:AY95" si="6">IF(AND(AW54=1,AV54=TRUE),1,IF(AND(AW54=2,AV54=TRUE),2,IF(AND(AW54=1,AV54=FALSE),1.5,IF(AND(AW54=2,AV54=FALSE),2.5,0))))</f>
        <v>2.5</v>
      </c>
      <c r="AZ54"/>
      <c r="BA54" s="44" t="str">
        <f t="shared" ref="BA54:BA93" ca="1" si="7">$A$1</f>
        <v>VariantAllowances</v>
      </c>
      <c r="BB54" s="44" t="str">
        <f t="shared" si="4"/>
        <v>TO variant allowances</v>
      </c>
      <c r="BC54" s="44" t="str">
        <f t="shared" si="5"/>
        <v>Variant attributes</v>
      </c>
    </row>
    <row r="55" spans="2:55" ht="16.5">
      <c r="E55" s="43" t="str">
        <f>NGT_TO!E130</f>
        <v>Cyber resilience term Price Control Deliverable</v>
      </c>
      <c r="F55" s="150" t="str">
        <f>NGT_TO!F130</f>
        <v>SpC 3.2</v>
      </c>
      <c r="G55" s="43" t="s">
        <v>148</v>
      </c>
      <c r="H55" s="43" t="s">
        <v>891</v>
      </c>
      <c r="AU55" s="174" t="b">
        <f>NGT_TO!AU130</f>
        <v>1</v>
      </c>
      <c r="AV55" s="50" t="b">
        <f>NGT_TO!AV130</f>
        <v>1</v>
      </c>
      <c r="AW55" s="49">
        <f>NGT_TO!AW130</f>
        <v>1</v>
      </c>
      <c r="AX55"/>
      <c r="AY55" s="54">
        <f t="shared" si="6"/>
        <v>1</v>
      </c>
      <c r="AZ55"/>
      <c r="BA55" s="44" t="str">
        <f t="shared" ca="1" si="7"/>
        <v>VariantAllowances</v>
      </c>
      <c r="BB55" s="44" t="str">
        <f t="shared" si="4"/>
        <v>TO variant allowances</v>
      </c>
      <c r="BC55" s="44" t="str">
        <f t="shared" si="5"/>
        <v>Variant attributes</v>
      </c>
    </row>
    <row r="56" spans="2:55" ht="16.5">
      <c r="E56" s="43" t="str">
        <f>NGT_TO!E131</f>
        <v>Cyber resilience Re-Opener</v>
      </c>
      <c r="F56" s="150" t="str">
        <f>NGT_TO!F131</f>
        <v>SpC 3.2</v>
      </c>
      <c r="G56" s="43" t="s">
        <v>148</v>
      </c>
      <c r="H56" s="43" t="s">
        <v>892</v>
      </c>
      <c r="AU56" s="174" t="b">
        <f>NGT_TO!AU131</f>
        <v>1</v>
      </c>
      <c r="AV56" s="50" t="b">
        <f>NGT_TO!AV131</f>
        <v>0</v>
      </c>
      <c r="AW56" s="49">
        <f>NGT_TO!AW131</f>
        <v>2</v>
      </c>
      <c r="AX56"/>
      <c r="AY56" s="54">
        <f t="shared" si="6"/>
        <v>2.5</v>
      </c>
      <c r="AZ56"/>
      <c r="BA56" s="44" t="str">
        <f t="shared" ca="1" si="7"/>
        <v>VariantAllowances</v>
      </c>
      <c r="BB56" s="44" t="str">
        <f t="shared" si="4"/>
        <v>TO variant allowances</v>
      </c>
      <c r="BC56" s="44" t="str">
        <f t="shared" si="5"/>
        <v>Variant attributes</v>
      </c>
    </row>
    <row r="57" spans="2:55" ht="16.5">
      <c r="E57" s="43" t="str">
        <f>NGT_TO!E132</f>
        <v>Cyber resilience Use it or lose it allowance</v>
      </c>
      <c r="F57" s="150" t="str">
        <f>NGT_TO!F132</f>
        <v>SpC 3.2</v>
      </c>
      <c r="G57" s="43" t="s">
        <v>148</v>
      </c>
      <c r="H57" s="43" t="s">
        <v>893</v>
      </c>
      <c r="AU57" s="174" t="b">
        <f>NGT_TO!AU132</f>
        <v>0</v>
      </c>
      <c r="AV57" s="50" t="b">
        <f>NGT_TO!AV132</f>
        <v>0</v>
      </c>
      <c r="AW57" s="49">
        <f>NGT_TO!AW132</f>
        <v>1</v>
      </c>
      <c r="AX57"/>
      <c r="AY57" s="54">
        <f t="shared" si="6"/>
        <v>1.5</v>
      </c>
      <c r="AZ57"/>
      <c r="BA57" s="44" t="str">
        <f t="shared" ca="1" si="7"/>
        <v>VariantAllowances</v>
      </c>
      <c r="BB57" s="44" t="str">
        <f t="shared" si="4"/>
        <v>TO variant allowances</v>
      </c>
      <c r="BC57" s="44" t="str">
        <f t="shared" si="5"/>
        <v>Variant attributes</v>
      </c>
    </row>
    <row r="58" spans="2:55" ht="16.5">
      <c r="E58" s="43" t="str">
        <f>NGT_TO!E133</f>
        <v>Resilience Activity Re-opener</v>
      </c>
      <c r="F58" s="150" t="str">
        <f>NGT_TO!F133</f>
        <v>SpC 3.3</v>
      </c>
      <c r="G58" s="43" t="s">
        <v>148</v>
      </c>
      <c r="H58" s="43" t="s">
        <v>1131</v>
      </c>
      <c r="AU58" s="174" t="b">
        <f>NGT_TO!AU133</f>
        <v>1</v>
      </c>
      <c r="AV58" s="50" t="b">
        <f>NGT_TO!AV133</f>
        <v>0</v>
      </c>
      <c r="AW58" s="49">
        <f>NGT_TO!AW133</f>
        <v>2</v>
      </c>
      <c r="AX58"/>
      <c r="AY58" s="54">
        <f t="shared" si="6"/>
        <v>2.5</v>
      </c>
      <c r="AZ58"/>
      <c r="BA58" s="44" t="str">
        <f t="shared" ca="1" si="7"/>
        <v>VariantAllowances</v>
      </c>
      <c r="BB58" s="44" t="str">
        <f t="shared" si="4"/>
        <v>TO variant allowances</v>
      </c>
      <c r="BC58" s="44" t="str">
        <f t="shared" si="5"/>
        <v>Variant attributes</v>
      </c>
    </row>
    <row r="59" spans="2:55" ht="16.5">
      <c r="E59" s="43" t="str">
        <f>NGT_TO!E134</f>
        <v>Physical Security Price Control Deliverable</v>
      </c>
      <c r="F59" s="150" t="str">
        <f>NGT_TO!F134</f>
        <v>SpC 3.3</v>
      </c>
      <c r="G59" s="43" t="s">
        <v>148</v>
      </c>
      <c r="H59" s="43" t="s">
        <v>894</v>
      </c>
      <c r="AU59" s="174" t="b">
        <f>NGT_TO!AU134</f>
        <v>1</v>
      </c>
      <c r="AV59" s="50" t="b">
        <f>NGT_TO!AV134</f>
        <v>1</v>
      </c>
      <c r="AW59" s="49">
        <f>NGT_TO!AW134</f>
        <v>1</v>
      </c>
      <c r="AX59"/>
      <c r="AY59" s="54">
        <f t="shared" si="6"/>
        <v>1</v>
      </c>
      <c r="AZ59"/>
      <c r="BA59" s="44" t="str">
        <f t="shared" ca="1" si="7"/>
        <v>VariantAllowances</v>
      </c>
      <c r="BB59" s="44" t="str">
        <f t="shared" si="4"/>
        <v>TO variant allowances</v>
      </c>
      <c r="BC59" s="44" t="str">
        <f t="shared" si="5"/>
        <v>Variant attributes</v>
      </c>
    </row>
    <row r="60" spans="2:55" ht="16.5">
      <c r="E60" s="43" t="str">
        <f>NGT_TO!E135</f>
        <v>Physical Security Price Control Deliverable - Re-Opener Element</v>
      </c>
      <c r="F60" s="150" t="str">
        <f>NGT_TO!F135</f>
        <v>SpC 3.3</v>
      </c>
      <c r="G60" s="43" t="s">
        <v>148</v>
      </c>
      <c r="H60" s="43" t="s">
        <v>895</v>
      </c>
      <c r="AU60" s="174" t="b">
        <f>NGT_TO!AU135</f>
        <v>1</v>
      </c>
      <c r="AV60" s="50" t="b">
        <f>NGT_TO!AV135</f>
        <v>0</v>
      </c>
      <c r="AW60" s="49">
        <f>NGT_TO!AW135</f>
        <v>2</v>
      </c>
      <c r="AX60"/>
      <c r="AY60" s="54">
        <f t="shared" si="6"/>
        <v>2.5</v>
      </c>
      <c r="AZ60"/>
      <c r="BA60" s="44" t="str">
        <f t="shared" ca="1" si="7"/>
        <v>VariantAllowances</v>
      </c>
      <c r="BB60" s="44" t="str">
        <f t="shared" si="4"/>
        <v>TO variant allowances</v>
      </c>
      <c r="BC60" s="44" t="str">
        <f t="shared" si="5"/>
        <v>Variant attributes</v>
      </c>
    </row>
    <row r="61" spans="2:55" ht="16.5">
      <c r="E61" s="43" t="str">
        <f>NGT_TO!E136</f>
        <v>Small Decarbonisation Projects Re-opener</v>
      </c>
      <c r="F61" s="150" t="str">
        <f>NGT_TO!F136</f>
        <v>SpC 3.4</v>
      </c>
      <c r="G61" s="43" t="s">
        <v>148</v>
      </c>
      <c r="H61" s="43" t="s">
        <v>896</v>
      </c>
      <c r="AU61" s="174" t="b">
        <f>NGT_TO!AU136</f>
        <v>1</v>
      </c>
      <c r="AV61" s="50" t="b">
        <f>NGT_TO!AV136</f>
        <v>0</v>
      </c>
      <c r="AW61" s="49">
        <f>NGT_TO!AW136</f>
        <v>2</v>
      </c>
      <c r="AX61"/>
      <c r="AY61" s="54">
        <f t="shared" si="6"/>
        <v>2.5</v>
      </c>
      <c r="AZ61"/>
      <c r="BA61" s="44" t="str">
        <f t="shared" ca="1" si="7"/>
        <v>VariantAllowances</v>
      </c>
      <c r="BB61" s="44" t="str">
        <f t="shared" si="4"/>
        <v>TO variant allowances</v>
      </c>
      <c r="BC61" s="44" t="str">
        <f t="shared" si="5"/>
        <v>Variant attributes</v>
      </c>
    </row>
    <row r="62" spans="2:55" ht="16.5">
      <c r="E62" s="43" t="str">
        <f>NGT_TO!E137</f>
        <v>Decarbonisation Project Development Fund UIOLI</v>
      </c>
      <c r="F62" s="150" t="str">
        <f>NGT_TO!F137</f>
        <v>SpC 3.5</v>
      </c>
      <c r="G62" s="43" t="s">
        <v>148</v>
      </c>
      <c r="H62" s="43" t="s">
        <v>897</v>
      </c>
      <c r="AU62" s="174" t="b">
        <f>NGT_TO!AU137</f>
        <v>0</v>
      </c>
      <c r="AV62" s="50" t="b">
        <f>NGT_TO!AV137</f>
        <v>0</v>
      </c>
      <c r="AW62" s="49">
        <f>NGT_TO!AW137</f>
        <v>1</v>
      </c>
      <c r="AX62"/>
      <c r="AY62" s="54">
        <f t="shared" si="6"/>
        <v>1.5</v>
      </c>
      <c r="AZ62"/>
      <c r="BA62" s="44" t="str">
        <f t="shared" ca="1" si="7"/>
        <v>VariantAllowances</v>
      </c>
      <c r="BB62" s="44" t="str">
        <f t="shared" si="4"/>
        <v>TO variant allowances</v>
      </c>
      <c r="BC62" s="44" t="str">
        <f t="shared" si="5"/>
        <v>Variant attributes</v>
      </c>
    </row>
    <row r="63" spans="2:55" ht="16.5">
      <c r="E63" s="43" t="str">
        <f>NGT_TO!E138</f>
        <v>Decarbonisation and Environmental Policy Re-Opener</v>
      </c>
      <c r="F63" s="150" t="str">
        <f>NGT_TO!F138</f>
        <v>SpC 3.6</v>
      </c>
      <c r="G63" s="43" t="s">
        <v>148</v>
      </c>
      <c r="H63" s="43" t="s">
        <v>898</v>
      </c>
      <c r="AU63" s="174" t="b">
        <f>NGT_TO!AU138</f>
        <v>1</v>
      </c>
      <c r="AV63" s="50" t="b">
        <f>NGT_TO!AV138</f>
        <v>0</v>
      </c>
      <c r="AW63" s="49">
        <f>NGT_TO!AW138</f>
        <v>2</v>
      </c>
      <c r="AX63"/>
      <c r="AY63" s="54">
        <f t="shared" si="6"/>
        <v>2.5</v>
      </c>
      <c r="AZ63"/>
      <c r="BA63" s="44" t="str">
        <f t="shared" ca="1" si="7"/>
        <v>VariantAllowances</v>
      </c>
      <c r="BB63" s="44" t="str">
        <f t="shared" si="4"/>
        <v>TO variant allowances</v>
      </c>
      <c r="BC63" s="44" t="str">
        <f t="shared" si="5"/>
        <v>Variant attributes</v>
      </c>
    </row>
    <row r="64" spans="2:55" ht="16.5">
      <c r="E64" s="43" t="str">
        <f>NGT_TO!E139</f>
        <v>Digitalisation Re-opener</v>
      </c>
      <c r="F64" s="150" t="str">
        <f>NGT_TO!F139</f>
        <v>SpC 3.7</v>
      </c>
      <c r="G64" s="43" t="s">
        <v>148</v>
      </c>
      <c r="H64" s="43" t="s">
        <v>899</v>
      </c>
      <c r="AU64" s="174" t="b">
        <f>NGT_TO!AU139</f>
        <v>1</v>
      </c>
      <c r="AV64" s="50" t="b">
        <f>NGT_TO!AV139</f>
        <v>0</v>
      </c>
      <c r="AW64" s="49">
        <f>NGT_TO!AW139</f>
        <v>2</v>
      </c>
      <c r="AX64"/>
      <c r="AY64" s="54">
        <f t="shared" si="6"/>
        <v>2.5</v>
      </c>
      <c r="AZ64"/>
      <c r="BA64" s="44" t="str">
        <f t="shared" ca="1" si="7"/>
        <v>VariantAllowances</v>
      </c>
      <c r="BB64" s="44" t="str">
        <f t="shared" si="4"/>
        <v>TO variant allowances</v>
      </c>
      <c r="BC64" s="44" t="str">
        <f t="shared" si="5"/>
        <v>Variant attributes</v>
      </c>
    </row>
    <row r="65" spans="5:55" ht="16.5">
      <c r="E65" s="43" t="str">
        <f>NGT_TO!E140</f>
        <v>Coordinated Adjustment Mechanism Re-opener</v>
      </c>
      <c r="F65" s="150" t="str">
        <f>NGT_TO!F140</f>
        <v>SpC 3.8</v>
      </c>
      <c r="G65" s="43" t="s">
        <v>148</v>
      </c>
      <c r="H65" s="43" t="s">
        <v>900</v>
      </c>
      <c r="AU65" s="174" t="b">
        <f>NGT_TO!AU140</f>
        <v>1</v>
      </c>
      <c r="AV65" s="50" t="b">
        <f>NGT_TO!AV140</f>
        <v>0</v>
      </c>
      <c r="AW65" s="49">
        <f>NGT_TO!AW140</f>
        <v>2</v>
      </c>
      <c r="AX65"/>
      <c r="AY65" s="54">
        <f t="shared" si="6"/>
        <v>2.5</v>
      </c>
      <c r="AZ65"/>
      <c r="BA65" s="44" t="str">
        <f t="shared" ca="1" si="7"/>
        <v>VariantAllowances</v>
      </c>
      <c r="BB65" s="44" t="str">
        <f t="shared" si="4"/>
        <v>TO variant allowances</v>
      </c>
      <c r="BC65" s="44" t="str">
        <f t="shared" si="5"/>
        <v>Variant attributes</v>
      </c>
    </row>
    <row r="66" spans="5:55" ht="16.5">
      <c r="E66" s="43" t="str">
        <f>NGT_TO!E141</f>
        <v>Bacton terminal site redevelopment Price Control Deliverable</v>
      </c>
      <c r="F66" s="150" t="str">
        <f>NGT_TO!F141</f>
        <v>SpC 3.9</v>
      </c>
      <c r="G66" s="43" t="s">
        <v>148</v>
      </c>
      <c r="H66" s="43" t="s">
        <v>901</v>
      </c>
      <c r="AU66" s="174" t="b">
        <f>NGT_TO!AU141</f>
        <v>1</v>
      </c>
      <c r="AV66" s="50" t="b">
        <f>NGT_TO!AV141</f>
        <v>1</v>
      </c>
      <c r="AW66" s="49">
        <f>NGT_TO!AW141</f>
        <v>1</v>
      </c>
      <c r="AX66"/>
      <c r="AY66" s="54">
        <f t="shared" si="6"/>
        <v>1</v>
      </c>
      <c r="AZ66"/>
      <c r="BA66" s="44" t="str">
        <f t="shared" ca="1" si="7"/>
        <v>VariantAllowances</v>
      </c>
      <c r="BB66" s="44" t="str">
        <f t="shared" si="4"/>
        <v>TO variant allowances</v>
      </c>
      <c r="BC66" s="44" t="str">
        <f t="shared" si="5"/>
        <v>Variant attributes</v>
      </c>
    </row>
    <row r="67" spans="5:55" ht="16.5">
      <c r="E67" s="43" t="str">
        <f>NGT_TO!E142</f>
        <v>Compressor Emissions Price Control Deliverable</v>
      </c>
      <c r="F67" s="150" t="str">
        <f>NGT_TO!F142</f>
        <v>SpC 3.10</v>
      </c>
      <c r="G67" s="43" t="s">
        <v>148</v>
      </c>
      <c r="H67" s="43" t="s">
        <v>902</v>
      </c>
      <c r="AU67" s="174" t="b">
        <f>NGT_TO!AU142</f>
        <v>1</v>
      </c>
      <c r="AV67" s="50" t="b">
        <f>NGT_TO!AV142</f>
        <v>1</v>
      </c>
      <c r="AW67" s="49">
        <f>NGT_TO!AW142</f>
        <v>1</v>
      </c>
      <c r="AX67"/>
      <c r="AY67" s="54">
        <f t="shared" si="6"/>
        <v>1</v>
      </c>
      <c r="AZ67"/>
      <c r="BA67" s="44" t="str">
        <f t="shared" ca="1" si="7"/>
        <v>VariantAllowances</v>
      </c>
      <c r="BB67" s="44" t="str">
        <f t="shared" si="4"/>
        <v>TO variant allowances</v>
      </c>
      <c r="BC67" s="44" t="str">
        <f t="shared" si="5"/>
        <v>Variant attributes</v>
      </c>
    </row>
    <row r="68" spans="5:55" ht="16.5">
      <c r="E68" s="43" t="str">
        <f>NGT_TO!E143</f>
        <v>Funded Incremental Obligated Capacity Price Control Deliverable</v>
      </c>
      <c r="F68" s="150" t="str">
        <f>NGT_TO!F143</f>
        <v>SpC 3.11</v>
      </c>
      <c r="G68" s="43" t="s">
        <v>148</v>
      </c>
      <c r="H68" s="43" t="s">
        <v>903</v>
      </c>
      <c r="AU68" s="174" t="b">
        <f>NGT_TO!AU143</f>
        <v>1</v>
      </c>
      <c r="AV68" s="50" t="b">
        <f>NGT_TO!AV143</f>
        <v>1</v>
      </c>
      <c r="AW68" s="49">
        <f>NGT_TO!AW143</f>
        <v>1</v>
      </c>
      <c r="AX68"/>
      <c r="AY68" s="54">
        <f t="shared" si="6"/>
        <v>1</v>
      </c>
      <c r="AZ68"/>
      <c r="BA68" s="44" t="str">
        <f t="shared" ca="1" si="7"/>
        <v>VariantAllowances</v>
      </c>
      <c r="BB68" s="44" t="str">
        <f t="shared" si="4"/>
        <v>TO variant allowances</v>
      </c>
      <c r="BC68" s="44" t="str">
        <f t="shared" si="5"/>
        <v>Variant attributes</v>
      </c>
    </row>
    <row r="69" spans="5:55" ht="16.5">
      <c r="E69" s="43" t="str">
        <f>NGT_TO!E144</f>
        <v>Funded Incremental Obligated Capacity Price Control Deliverable - Re-Opener Element</v>
      </c>
      <c r="F69" s="150" t="str">
        <f>NGT_TO!F144</f>
        <v>SpC 3.11</v>
      </c>
      <c r="G69" s="43" t="s">
        <v>148</v>
      </c>
      <c r="H69" s="43" t="s">
        <v>904</v>
      </c>
      <c r="AU69" s="174" t="b">
        <f>NGT_TO!AU144</f>
        <v>1</v>
      </c>
      <c r="AV69" s="50" t="b">
        <f>NGT_TO!AV144</f>
        <v>1</v>
      </c>
      <c r="AW69" s="49">
        <f>NGT_TO!AW144</f>
        <v>2</v>
      </c>
      <c r="AX69"/>
      <c r="AY69" s="54">
        <f t="shared" si="6"/>
        <v>2</v>
      </c>
      <c r="AZ69"/>
      <c r="BA69" s="44" t="str">
        <f t="shared" ca="1" si="7"/>
        <v>VariantAllowances</v>
      </c>
      <c r="BB69" s="44" t="str">
        <f t="shared" si="4"/>
        <v>TO variant allowances</v>
      </c>
      <c r="BC69" s="44" t="str">
        <f t="shared" si="5"/>
        <v>Variant attributes</v>
      </c>
    </row>
    <row r="70" spans="5:55" ht="16.5">
      <c r="E70" s="43" t="str">
        <f>NGT_TO!E145</f>
        <v>Asset health Re-Opener</v>
      </c>
      <c r="F70" s="150" t="str">
        <f>NGT_TO!F145</f>
        <v>SpC 3.12</v>
      </c>
      <c r="G70" s="43" t="s">
        <v>148</v>
      </c>
      <c r="H70" s="43" t="s">
        <v>905</v>
      </c>
      <c r="AU70" s="174" t="b">
        <f>NGT_TO!AU145</f>
        <v>1</v>
      </c>
      <c r="AV70" s="50" t="b">
        <f>NGT_TO!AV145</f>
        <v>1</v>
      </c>
      <c r="AW70" s="49">
        <f>NGT_TO!AW145</f>
        <v>2</v>
      </c>
      <c r="AX70"/>
      <c r="AY70" s="54">
        <f t="shared" si="6"/>
        <v>2</v>
      </c>
      <c r="AZ70"/>
      <c r="BA70" s="44" t="str">
        <f t="shared" ca="1" si="7"/>
        <v>VariantAllowances</v>
      </c>
      <c r="BB70" s="44" t="str">
        <f t="shared" si="4"/>
        <v>TO variant allowances</v>
      </c>
      <c r="BC70" s="44" t="str">
        <f t="shared" si="5"/>
        <v>Variant attributes</v>
      </c>
    </row>
    <row r="71" spans="5:55" ht="16.5">
      <c r="E71" s="43" t="str">
        <f>NGT_TO!E146</f>
        <v>Redundant assets Price Control Deliverable</v>
      </c>
      <c r="F71" s="150" t="str">
        <f>NGT_TO!F146</f>
        <v>SpC 3.13</v>
      </c>
      <c r="G71" s="43" t="s">
        <v>148</v>
      </c>
      <c r="H71" s="43" t="s">
        <v>906</v>
      </c>
      <c r="AU71" s="174" t="b">
        <f>NGT_TO!AU146</f>
        <v>1</v>
      </c>
      <c r="AV71" s="50" t="b">
        <f>NGT_TO!AV146</f>
        <v>1</v>
      </c>
      <c r="AW71" s="49">
        <f>NGT_TO!AW146</f>
        <v>1</v>
      </c>
      <c r="AX71"/>
      <c r="AY71" s="54">
        <f t="shared" si="6"/>
        <v>1</v>
      </c>
      <c r="AZ71"/>
      <c r="BA71" s="44" t="str">
        <f t="shared" ca="1" si="7"/>
        <v>VariantAllowances</v>
      </c>
      <c r="BB71" s="44" t="str">
        <f t="shared" si="4"/>
        <v>TO variant allowances</v>
      </c>
      <c r="BC71" s="44" t="str">
        <f t="shared" si="5"/>
        <v>Variant attributes</v>
      </c>
    </row>
    <row r="72" spans="5:55" ht="16.5">
      <c r="E72" s="43" t="str">
        <f>NGT_TO!E147</f>
        <v>Pipeline Diversions Re-opener</v>
      </c>
      <c r="F72" s="150" t="str">
        <f>NGT_TO!F147</f>
        <v>SpC 3.14</v>
      </c>
      <c r="G72" s="43" t="s">
        <v>148</v>
      </c>
      <c r="H72" s="43" t="s">
        <v>907</v>
      </c>
      <c r="AU72" s="174" t="b">
        <f>NGT_TO!AU147</f>
        <v>1</v>
      </c>
      <c r="AV72" s="50" t="b">
        <f>NGT_TO!AV147</f>
        <v>0</v>
      </c>
      <c r="AW72" s="49">
        <f>NGT_TO!AW147</f>
        <v>2</v>
      </c>
      <c r="AX72"/>
      <c r="AY72" s="54">
        <f t="shared" si="6"/>
        <v>2.5</v>
      </c>
      <c r="AZ72"/>
      <c r="BA72" s="44" t="str">
        <f t="shared" ca="1" si="7"/>
        <v>VariantAllowances</v>
      </c>
      <c r="BB72" s="44" t="str">
        <f t="shared" si="4"/>
        <v>TO variant allowances</v>
      </c>
      <c r="BC72" s="44" t="str">
        <f t="shared" si="5"/>
        <v>Variant attributes</v>
      </c>
    </row>
    <row r="73" spans="5:55" ht="16.5">
      <c r="E73" s="43" t="str">
        <f>NGT_TO!E148</f>
        <v>Biomethane Connections use it or lose it allowance</v>
      </c>
      <c r="F73" s="150" t="str">
        <f>NGT_TO!F148</f>
        <v>SpC 3.15</v>
      </c>
      <c r="G73" s="43" t="s">
        <v>148</v>
      </c>
      <c r="H73" s="43" t="s">
        <v>908</v>
      </c>
      <c r="AU73" s="174" t="b">
        <f>NGT_TO!AU148</f>
        <v>0</v>
      </c>
      <c r="AV73" s="50" t="b">
        <f>NGT_TO!AV148</f>
        <v>0</v>
      </c>
      <c r="AW73" s="49">
        <f>NGT_TO!AW148</f>
        <v>1</v>
      </c>
      <c r="AX73"/>
      <c r="AY73" s="54">
        <f t="shared" si="6"/>
        <v>1.5</v>
      </c>
      <c r="AZ73"/>
      <c r="BA73" s="44" t="str">
        <f t="shared" ca="1" si="7"/>
        <v>VariantAllowances</v>
      </c>
      <c r="BB73" s="44" t="str">
        <f t="shared" si="4"/>
        <v>TO variant allowances</v>
      </c>
      <c r="BC73" s="44" t="str">
        <f t="shared" si="5"/>
        <v>Variant attributes</v>
      </c>
    </row>
    <row r="74" spans="5:55" ht="16.5">
      <c r="E74" s="43" t="str">
        <f>NGT_TO!E149</f>
        <v>Compressor Breakdown Use it or lose it allowance</v>
      </c>
      <c r="F74" s="150" t="str">
        <f>NGT_TO!F149</f>
        <v>SpC 3.16</v>
      </c>
      <c r="G74" s="43" t="s">
        <v>148</v>
      </c>
      <c r="H74" s="43" t="s">
        <v>909</v>
      </c>
      <c r="AU74" s="174" t="b">
        <f>NGT_TO!AU149</f>
        <v>0</v>
      </c>
      <c r="AV74" s="50" t="b">
        <f>NGT_TO!AV149</f>
        <v>0</v>
      </c>
      <c r="AW74" s="49">
        <f>NGT_TO!AW149</f>
        <v>1</v>
      </c>
      <c r="AX74"/>
      <c r="AY74" s="54">
        <f t="shared" si="6"/>
        <v>1.5</v>
      </c>
      <c r="AZ74"/>
      <c r="BA74" s="44" t="str">
        <f t="shared" ca="1" si="7"/>
        <v>VariantAllowances</v>
      </c>
      <c r="BB74" s="44" t="str">
        <f t="shared" si="4"/>
        <v>TO variant allowances</v>
      </c>
      <c r="BC74" s="44" t="str">
        <f t="shared" si="5"/>
        <v>Variant attributes</v>
      </c>
    </row>
    <row r="75" spans="5:55" ht="16.5">
      <c r="E75" s="43" t="str">
        <f>NGT_TO!E150</f>
        <v>Nitrogen Sleeves Price Control Deliverable</v>
      </c>
      <c r="F75" s="150" t="str">
        <f>NGT_TO!F150</f>
        <v>SpC 3.17</v>
      </c>
      <c r="G75" s="43" t="s">
        <v>148</v>
      </c>
      <c r="H75" s="43" t="s">
        <v>910</v>
      </c>
      <c r="AU75" s="174" t="b">
        <f>NGT_TO!AU150</f>
        <v>1</v>
      </c>
      <c r="AV75" s="50" t="b">
        <f>NGT_TO!AV150</f>
        <v>1</v>
      </c>
      <c r="AW75" s="49">
        <f>NGT_TO!AW150</f>
        <v>1</v>
      </c>
      <c r="AX75"/>
      <c r="AY75" s="54">
        <f t="shared" si="6"/>
        <v>1</v>
      </c>
      <c r="AZ75"/>
      <c r="BA75" s="44" t="str">
        <f t="shared" ca="1" si="7"/>
        <v>VariantAllowances</v>
      </c>
      <c r="BB75" s="44" t="str">
        <f t="shared" si="4"/>
        <v>TO variant allowances</v>
      </c>
      <c r="BC75" s="44" t="str">
        <f t="shared" si="5"/>
        <v>Variant attributes</v>
      </c>
    </row>
    <row r="76" spans="5:55" ht="16.5">
      <c r="E76" s="43" t="str">
        <f>NGT_TO!E151</f>
        <v>West Import Resilience Project Price Control Deliverable</v>
      </c>
      <c r="F76" s="150" t="str">
        <f>NGT_TO!F151</f>
        <v>SpC 3.18</v>
      </c>
      <c r="G76" s="43" t="s">
        <v>148</v>
      </c>
      <c r="H76" s="43" t="s">
        <v>911</v>
      </c>
      <c r="AU76" s="174" t="b">
        <f>NGT_TO!AU151</f>
        <v>1</v>
      </c>
      <c r="AV76" s="50" t="b">
        <f>NGT_TO!AV151</f>
        <v>1</v>
      </c>
      <c r="AW76" s="49">
        <f>NGT_TO!AW151</f>
        <v>1</v>
      </c>
      <c r="AX76"/>
      <c r="AY76" s="54">
        <f t="shared" si="6"/>
        <v>1</v>
      </c>
      <c r="AZ76"/>
      <c r="BA76" s="44" t="str">
        <f t="shared" ca="1" si="7"/>
        <v>VariantAllowances</v>
      </c>
      <c r="BB76" s="44" t="str">
        <f t="shared" si="4"/>
        <v>TO variant allowances</v>
      </c>
      <c r="BC76" s="44" t="str">
        <f t="shared" si="5"/>
        <v>Variant attributes</v>
      </c>
    </row>
    <row r="77" spans="5:55" ht="16.5">
      <c r="E77" s="43" t="str">
        <f>NGT_TO!E152</f>
        <v>West Import Resilience Project Re-opener</v>
      </c>
      <c r="F77" s="150" t="str">
        <f>NGT_TO!F152</f>
        <v>SpC 3.18</v>
      </c>
      <c r="G77" s="43" t="s">
        <v>148</v>
      </c>
      <c r="H77" s="43" t="s">
        <v>912</v>
      </c>
      <c r="AU77" s="174" t="b">
        <f>NGT_TO!AU152</f>
        <v>1</v>
      </c>
      <c r="AV77" s="50" t="b">
        <f>NGT_TO!AV152</f>
        <v>0</v>
      </c>
      <c r="AW77" s="49">
        <f>NGT_TO!AW152</f>
        <v>2</v>
      </c>
      <c r="AX77"/>
      <c r="AY77" s="54">
        <f t="shared" si="6"/>
        <v>2.5</v>
      </c>
      <c r="AZ77"/>
      <c r="BA77" s="44" t="str">
        <f t="shared" ca="1" si="7"/>
        <v>VariantAllowances</v>
      </c>
      <c r="BB77" s="44" t="str">
        <f t="shared" si="4"/>
        <v>TO variant allowances</v>
      </c>
      <c r="BC77" s="44" t="str">
        <f t="shared" si="5"/>
        <v>Variant attributes</v>
      </c>
    </row>
    <row r="78" spans="5:55" ht="16.5">
      <c r="E78" s="43" t="str">
        <f>NGT_TO!E153</f>
        <v>Gas strategic planning re-opener</v>
      </c>
      <c r="F78" s="150" t="str">
        <f>NGT_TO!F153</f>
        <v>SpC 3.19</v>
      </c>
      <c r="G78" s="43" t="s">
        <v>148</v>
      </c>
      <c r="H78" s="43" t="s">
        <v>913</v>
      </c>
      <c r="AU78" s="174" t="b">
        <f>NGT_TO!AU153</f>
        <v>1</v>
      </c>
      <c r="AV78" s="50" t="b">
        <f>NGT_TO!AV153</f>
        <v>1</v>
      </c>
      <c r="AW78" s="49">
        <f>NGT_TO!AW153</f>
        <v>2</v>
      </c>
      <c r="AX78"/>
      <c r="AY78" s="54">
        <f t="shared" si="6"/>
        <v>2</v>
      </c>
      <c r="AZ78"/>
      <c r="BA78" s="44" t="str">
        <f t="shared" ca="1" si="7"/>
        <v>VariantAllowances</v>
      </c>
      <c r="BB78" s="44" t="str">
        <f t="shared" si="4"/>
        <v>TO variant allowances</v>
      </c>
      <c r="BC78" s="44" t="str">
        <f t="shared" si="5"/>
        <v>Variant attributes</v>
      </c>
    </row>
    <row r="79" spans="5:55" ht="16.5">
      <c r="E79" s="43" t="str">
        <f>NGT_TO!E154</f>
        <v>Office and Gas National Control Centre and Emergency Control Room Relocation Re-opener</v>
      </c>
      <c r="F79" s="150" t="str">
        <f>NGT_TO!F154</f>
        <v>SpC 3.20</v>
      </c>
      <c r="G79" s="43" t="s">
        <v>148</v>
      </c>
      <c r="H79" s="43" t="s">
        <v>914</v>
      </c>
      <c r="AU79" s="174" t="b">
        <f>NGT_TO!AU154</f>
        <v>1</v>
      </c>
      <c r="AV79" s="50" t="b">
        <f>NGT_TO!AV154</f>
        <v>0</v>
      </c>
      <c r="AW79" s="49">
        <f>NGT_TO!AW154</f>
        <v>2</v>
      </c>
      <c r="AX79"/>
      <c r="AY79" s="54">
        <f t="shared" si="6"/>
        <v>2.5</v>
      </c>
      <c r="AZ79"/>
      <c r="BA79" s="44" t="str">
        <f t="shared" ca="1" si="7"/>
        <v>VariantAllowances</v>
      </c>
      <c r="BB79" s="44" t="str">
        <f t="shared" si="4"/>
        <v>TO variant allowances</v>
      </c>
      <c r="BC79" s="44" t="str">
        <f t="shared" si="5"/>
        <v>Variant attributes</v>
      </c>
    </row>
    <row r="80" spans="5:55" ht="16.5">
      <c r="E80" s="43" t="str">
        <f>NGT_TO!E155</f>
        <v>Network capability re-opener</v>
      </c>
      <c r="F80" s="150" t="str">
        <f>NGT_TO!F155</f>
        <v>SpC 3.21</v>
      </c>
      <c r="G80" s="43" t="s">
        <v>148</v>
      </c>
      <c r="H80" s="43" t="s">
        <v>915</v>
      </c>
      <c r="AU80" s="174" t="b">
        <f>NGT_TO!AU155</f>
        <v>1</v>
      </c>
      <c r="AV80" s="50" t="b">
        <f>NGT_TO!AV155</f>
        <v>0</v>
      </c>
      <c r="AW80" s="49">
        <f>NGT_TO!AW155</f>
        <v>2</v>
      </c>
      <c r="AX80"/>
      <c r="AY80" s="54">
        <f t="shared" si="6"/>
        <v>2.5</v>
      </c>
      <c r="AZ80"/>
      <c r="BA80" s="44" t="str">
        <f t="shared" ca="1" si="7"/>
        <v>VariantAllowances</v>
      </c>
      <c r="BB80" s="44" t="str">
        <f t="shared" si="4"/>
        <v>TO variant allowances</v>
      </c>
      <c r="BC80" s="44" t="str">
        <f t="shared" si="5"/>
        <v>Variant attributes</v>
      </c>
    </row>
    <row r="81" spans="5:55" ht="16.5">
      <c r="E81" s="43" t="str">
        <f>NGT_TO!E156</f>
        <v>Bacton Enhanced Filtration re-opener</v>
      </c>
      <c r="F81" s="150" t="str">
        <f>NGT_TO!F156</f>
        <v>SpC 3.22</v>
      </c>
      <c r="G81" s="43" t="s">
        <v>148</v>
      </c>
      <c r="H81" s="43" t="s">
        <v>916</v>
      </c>
      <c r="AU81" s="174" t="b">
        <f>NGT_TO!AU156</f>
        <v>1</v>
      </c>
      <c r="AV81" s="50" t="b">
        <f>NGT_TO!AV156</f>
        <v>0</v>
      </c>
      <c r="AW81" s="49">
        <f>NGT_TO!AW156</f>
        <v>2</v>
      </c>
      <c r="AX81"/>
      <c r="AY81" s="54">
        <f t="shared" si="6"/>
        <v>2.5</v>
      </c>
      <c r="AZ81"/>
      <c r="BA81" s="44" t="str">
        <f t="shared" ca="1" si="7"/>
        <v>VariantAllowances</v>
      </c>
      <c r="BB81" s="44" t="str">
        <f t="shared" si="4"/>
        <v>TO variant allowances</v>
      </c>
      <c r="BC81" s="44" t="str">
        <f t="shared" si="5"/>
        <v>Variant attributes</v>
      </c>
    </row>
    <row r="82" spans="5:55" ht="16.5">
      <c r="E82" s="43" t="str">
        <f>NGT_TO!E157</f>
        <v>Network decarbonisation and emissions compliance Re-opener</v>
      </c>
      <c r="F82" s="150" t="str">
        <f>NGT_TO!F157</f>
        <v>SpC 3.23</v>
      </c>
      <c r="G82" s="43" t="s">
        <v>148</v>
      </c>
      <c r="H82" s="43" t="s">
        <v>917</v>
      </c>
      <c r="AU82" s="174" t="b">
        <f>NGT_TO!AU157</f>
        <v>1</v>
      </c>
      <c r="AV82" s="50" t="b">
        <f>NGT_TO!AV157</f>
        <v>0</v>
      </c>
      <c r="AW82" s="49">
        <f>NGT_TO!AW157</f>
        <v>2</v>
      </c>
      <c r="AX82"/>
      <c r="AY82" s="54">
        <f t="shared" si="6"/>
        <v>2.5</v>
      </c>
      <c r="AZ82"/>
      <c r="BA82" s="44" t="str">
        <f t="shared" ca="1" si="7"/>
        <v>VariantAllowances</v>
      </c>
      <c r="BB82" s="44" t="str">
        <f t="shared" si="4"/>
        <v>TO variant allowances</v>
      </c>
      <c r="BC82" s="44" t="str">
        <f t="shared" si="5"/>
        <v>Variant attributes</v>
      </c>
    </row>
    <row r="83" spans="5:55" ht="16.5">
      <c r="E83" s="43" t="str">
        <f>NGT_TO!E158</f>
        <v>Compressor acoustic building replacement Price Control Deliverable</v>
      </c>
      <c r="F83" s="150" t="str">
        <f>NGT_TO!F158</f>
        <v>SpC 3.24</v>
      </c>
      <c r="G83" s="43" t="s">
        <v>148</v>
      </c>
      <c r="H83" s="43" t="s">
        <v>918</v>
      </c>
      <c r="AU83" s="174" t="b">
        <f>NGT_TO!AU158</f>
        <v>1</v>
      </c>
      <c r="AV83" s="50" t="b">
        <f>NGT_TO!AV158</f>
        <v>1</v>
      </c>
      <c r="AW83" s="49">
        <f>NGT_TO!AW158</f>
        <v>1</v>
      </c>
      <c r="AX83"/>
      <c r="AY83" s="54">
        <f t="shared" si="6"/>
        <v>1</v>
      </c>
      <c r="AZ83"/>
      <c r="BA83" s="44" t="str">
        <f t="shared" ca="1" si="7"/>
        <v>VariantAllowances</v>
      </c>
      <c r="BB83" s="44" t="str">
        <f t="shared" si="4"/>
        <v>TO variant allowances</v>
      </c>
      <c r="BC83" s="44" t="str">
        <f t="shared" si="5"/>
        <v>Variant attributes</v>
      </c>
    </row>
    <row r="84" spans="5:55" ht="16.5">
      <c r="E84" s="43" t="str">
        <f>NGT_TO!E159</f>
        <v>Easement Reinstatement Price Control Deliverable</v>
      </c>
      <c r="F84" s="150" t="str">
        <f>NGT_TO!F159</f>
        <v>SpC 3.25</v>
      </c>
      <c r="G84" s="43" t="s">
        <v>148</v>
      </c>
      <c r="H84" s="43" t="s">
        <v>919</v>
      </c>
      <c r="AU84" s="174" t="b">
        <f>NGT_TO!AU159</f>
        <v>1</v>
      </c>
      <c r="AV84" s="50" t="b">
        <f>NGT_TO!AV159</f>
        <v>1</v>
      </c>
      <c r="AW84" s="49">
        <f>NGT_TO!AW159</f>
        <v>1</v>
      </c>
      <c r="AX84"/>
      <c r="AY84" s="54">
        <f t="shared" si="6"/>
        <v>1</v>
      </c>
      <c r="AZ84"/>
      <c r="BA84" s="44" t="str">
        <f t="shared" ca="1" si="7"/>
        <v>VariantAllowances</v>
      </c>
      <c r="BB84" s="44" t="str">
        <f t="shared" si="4"/>
        <v>TO variant allowances</v>
      </c>
      <c r="BC84" s="44" t="str">
        <f t="shared" si="5"/>
        <v>Variant attributes</v>
      </c>
    </row>
    <row r="85" spans="5:55" ht="16.5">
      <c r="E85" s="43" t="str">
        <f>NGT_TO!E160</f>
        <v>Removal and remediation of pipe stabbings Price Control Deliverable</v>
      </c>
      <c r="F85" s="150" t="str">
        <f>NGT_TO!F160</f>
        <v>SpC 3.26</v>
      </c>
      <c r="G85" s="43" t="s">
        <v>148</v>
      </c>
      <c r="H85" s="43" t="s">
        <v>920</v>
      </c>
      <c r="AU85" s="174" t="b">
        <f>NGT_TO!AU160</f>
        <v>1</v>
      </c>
      <c r="AV85" s="50" t="b">
        <f>NGT_TO!AV160</f>
        <v>1</v>
      </c>
      <c r="AW85" s="49">
        <f>NGT_TO!AW160</f>
        <v>1</v>
      </c>
      <c r="AX85"/>
      <c r="AY85" s="54">
        <f t="shared" si="6"/>
        <v>1</v>
      </c>
      <c r="AZ85"/>
      <c r="BA85" s="44" t="str">
        <f t="shared" ca="1" si="7"/>
        <v>VariantAllowances</v>
      </c>
      <c r="BB85" s="44" t="str">
        <f t="shared" si="4"/>
        <v>TO variant allowances</v>
      </c>
      <c r="BC85" s="44" t="str">
        <f t="shared" si="5"/>
        <v>Variant attributes</v>
      </c>
    </row>
    <row r="86" spans="5:55" ht="16.5">
      <c r="E86" s="43" t="str">
        <f>NGT_TO!E161</f>
        <v>Actuator replacement Price Control Deliverable</v>
      </c>
      <c r="F86" s="150" t="str">
        <f>NGT_TO!F161</f>
        <v>SpC 3.27</v>
      </c>
      <c r="G86" s="43" t="s">
        <v>148</v>
      </c>
      <c r="H86" s="43" t="s">
        <v>921</v>
      </c>
      <c r="AU86" s="174" t="b">
        <f>NGT_TO!AU161</f>
        <v>1</v>
      </c>
      <c r="AV86" s="50" t="b">
        <f>NGT_TO!AV161</f>
        <v>1</v>
      </c>
      <c r="AW86" s="49">
        <f>NGT_TO!AW161</f>
        <v>1</v>
      </c>
      <c r="AX86"/>
      <c r="AY86" s="54">
        <f t="shared" si="6"/>
        <v>1</v>
      </c>
      <c r="AZ86"/>
      <c r="BA86" s="44" t="str">
        <f t="shared" ca="1" si="7"/>
        <v>VariantAllowances</v>
      </c>
      <c r="BB86" s="44" t="str">
        <f t="shared" si="4"/>
        <v>TO variant allowances</v>
      </c>
      <c r="BC86" s="44" t="str">
        <f t="shared" si="5"/>
        <v>Variant attributes</v>
      </c>
    </row>
    <row r="87" spans="5:55" ht="16.5">
      <c r="E87" s="43" t="str">
        <f>NGT_TO!E162</f>
        <v>GT2/GT3 Crossover Adjustment</v>
      </c>
      <c r="F87" s="150" t="str">
        <f>NGT_TO!F162</f>
        <v>SpC 3.28</v>
      </c>
      <c r="G87" s="43" t="s">
        <v>148</v>
      </c>
      <c r="H87" s="43" t="s">
        <v>922</v>
      </c>
      <c r="AU87" s="174" t="b">
        <f>NGT_TO!AU162</f>
        <v>1</v>
      </c>
      <c r="AV87" s="50" t="b">
        <f>NGT_TO!AV162</f>
        <v>0</v>
      </c>
      <c r="AW87" s="49">
        <f>NGT_TO!AW162</f>
        <v>2</v>
      </c>
      <c r="AX87"/>
      <c r="AY87" s="54">
        <f t="shared" si="6"/>
        <v>2.5</v>
      </c>
      <c r="AZ87"/>
      <c r="BA87" s="44" t="str">
        <f t="shared" ca="1" si="7"/>
        <v>VariantAllowances</v>
      </c>
      <c r="BB87" s="44" t="str">
        <f t="shared" si="4"/>
        <v>TO variant allowances</v>
      </c>
      <c r="BC87" s="44" t="str">
        <f t="shared" si="5"/>
        <v>Variant attributes</v>
      </c>
    </row>
    <row r="88" spans="5:55">
      <c r="E88" s="43" t="str">
        <f>NGT_TO!E163</f>
        <v>Spare 1</v>
      </c>
      <c r="F88" s="150">
        <f>NGT_TO!F163</f>
        <v>0</v>
      </c>
      <c r="G88" s="43" t="s">
        <v>148</v>
      </c>
      <c r="AU88" s="174">
        <f>NGT_TO!AU163</f>
        <v>0</v>
      </c>
      <c r="AV88" s="50">
        <f>NGT_TO!AV163</f>
        <v>0</v>
      </c>
      <c r="AW88" s="49">
        <f>NGT_TO!AW163</f>
        <v>0</v>
      </c>
      <c r="AX88"/>
      <c r="AY88" s="54">
        <f t="shared" si="6"/>
        <v>0</v>
      </c>
      <c r="AZ88"/>
      <c r="BA88" s="44" t="str">
        <f t="shared" ca="1" si="7"/>
        <v>VariantAllowances</v>
      </c>
      <c r="BB88" s="44" t="str">
        <f t="shared" si="4"/>
        <v>TO variant allowances</v>
      </c>
      <c r="BC88" s="44" t="str">
        <f t="shared" si="5"/>
        <v>Variant attributes</v>
      </c>
    </row>
    <row r="89" spans="5:55">
      <c r="E89" s="43" t="str">
        <f>NGT_TO!E164</f>
        <v>Spare 2</v>
      </c>
      <c r="F89" s="150">
        <f>NGT_TO!F164</f>
        <v>0</v>
      </c>
      <c r="G89" s="43" t="s">
        <v>148</v>
      </c>
      <c r="AU89" s="174">
        <f>NGT_TO!AU164</f>
        <v>0</v>
      </c>
      <c r="AV89" s="50">
        <f>NGT_TO!AV164</f>
        <v>0</v>
      </c>
      <c r="AW89" s="49">
        <f>NGT_TO!AW164</f>
        <v>0</v>
      </c>
      <c r="AX89"/>
      <c r="AY89" s="54">
        <f t="shared" si="6"/>
        <v>0</v>
      </c>
      <c r="AZ89"/>
      <c r="BA89" s="44" t="str">
        <f t="shared" ca="1" si="7"/>
        <v>VariantAllowances</v>
      </c>
      <c r="BB89" s="44" t="str">
        <f t="shared" si="4"/>
        <v>TO variant allowances</v>
      </c>
      <c r="BC89" s="44" t="str">
        <f t="shared" si="5"/>
        <v>Variant attributes</v>
      </c>
    </row>
    <row r="90" spans="5:55">
      <c r="E90" s="43" t="str">
        <f>NGT_TO!E165</f>
        <v>Spare 3</v>
      </c>
      <c r="F90" s="150">
        <f>NGT_TO!F165</f>
        <v>0</v>
      </c>
      <c r="G90" s="43" t="s">
        <v>148</v>
      </c>
      <c r="AU90" s="174">
        <f>NGT_TO!AU165</f>
        <v>0</v>
      </c>
      <c r="AV90" s="50">
        <f>NGT_TO!AV165</f>
        <v>0</v>
      </c>
      <c r="AW90" s="49">
        <f>NGT_TO!AW165</f>
        <v>0</v>
      </c>
      <c r="AX90"/>
      <c r="AY90" s="54">
        <f t="shared" si="6"/>
        <v>0</v>
      </c>
      <c r="AZ90"/>
      <c r="BA90" s="44" t="str">
        <f t="shared" ca="1" si="7"/>
        <v>VariantAllowances</v>
      </c>
      <c r="BB90" s="44" t="str">
        <f t="shared" si="4"/>
        <v>TO variant allowances</v>
      </c>
      <c r="BC90" s="44" t="str">
        <f t="shared" si="5"/>
        <v>Variant attributes</v>
      </c>
    </row>
    <row r="91" spans="5:55">
      <c r="E91" s="43" t="str">
        <f>NGT_TO!E166</f>
        <v>Spare 4</v>
      </c>
      <c r="F91" s="150">
        <f>NGT_TO!F166</f>
        <v>0</v>
      </c>
      <c r="G91" s="43" t="s">
        <v>148</v>
      </c>
      <c r="AU91" s="174">
        <f>NGT_TO!AU166</f>
        <v>0</v>
      </c>
      <c r="AV91" s="50">
        <f>NGT_TO!AV166</f>
        <v>0</v>
      </c>
      <c r="AW91" s="49">
        <f>NGT_TO!AW166</f>
        <v>0</v>
      </c>
      <c r="AX91"/>
      <c r="AY91" s="54">
        <f t="shared" si="6"/>
        <v>0</v>
      </c>
      <c r="AZ91"/>
      <c r="BA91" s="44" t="str">
        <f t="shared" ca="1" si="7"/>
        <v>VariantAllowances</v>
      </c>
      <c r="BB91" s="44" t="str">
        <f t="shared" si="4"/>
        <v>TO variant allowances</v>
      </c>
      <c r="BC91" s="44" t="str">
        <f t="shared" si="5"/>
        <v>Variant attributes</v>
      </c>
    </row>
    <row r="92" spans="5:55">
      <c r="E92" s="43" t="str">
        <f>NGT_TO!E167</f>
        <v>Spare 5</v>
      </c>
      <c r="F92" s="150">
        <f>NGT_TO!F167</f>
        <v>0</v>
      </c>
      <c r="G92" s="43" t="s">
        <v>148</v>
      </c>
      <c r="AU92" s="174">
        <f>NGT_TO!AU167</f>
        <v>0</v>
      </c>
      <c r="AV92" s="50">
        <f>NGT_TO!AV167</f>
        <v>0</v>
      </c>
      <c r="AW92" s="49">
        <f>NGT_TO!AW167</f>
        <v>0</v>
      </c>
      <c r="AX92"/>
      <c r="AY92" s="54">
        <f t="shared" si="6"/>
        <v>0</v>
      </c>
      <c r="AZ92"/>
      <c r="BA92" s="44" t="str">
        <f t="shared" ca="1" si="7"/>
        <v>VariantAllowances</v>
      </c>
      <c r="BB92" s="44" t="str">
        <f t="shared" si="4"/>
        <v>TO variant allowances</v>
      </c>
      <c r="BC92" s="44" t="str">
        <f t="shared" si="5"/>
        <v>Variant attributes</v>
      </c>
    </row>
    <row r="93" spans="5:55">
      <c r="E93" s="43" t="str">
        <f>NGT_TO!E168</f>
        <v>Spare 6</v>
      </c>
      <c r="F93" s="150">
        <f>NGT_TO!F168</f>
        <v>0</v>
      </c>
      <c r="G93" s="43" t="s">
        <v>148</v>
      </c>
      <c r="AU93" s="174">
        <f>NGT_TO!AU168</f>
        <v>0</v>
      </c>
      <c r="AV93" s="50">
        <f>NGT_TO!AV168</f>
        <v>0</v>
      </c>
      <c r="AW93" s="49">
        <f>NGT_TO!AW168</f>
        <v>0</v>
      </c>
      <c r="AX93"/>
      <c r="AY93" s="54">
        <f t="shared" si="6"/>
        <v>0</v>
      </c>
      <c r="AZ93"/>
      <c r="BA93" s="44" t="str">
        <f t="shared" ca="1" si="7"/>
        <v>VariantAllowances</v>
      </c>
      <c r="BB93" s="44" t="str">
        <f t="shared" si="4"/>
        <v>TO variant allowances</v>
      </c>
      <c r="BC93" s="44" t="str">
        <f t="shared" si="5"/>
        <v>Variant attributes</v>
      </c>
    </row>
    <row r="94" spans="5:55">
      <c r="E94" s="43" t="str">
        <f>NGT_TO!E169</f>
        <v>Spare 7</v>
      </c>
      <c r="F94" s="150">
        <f>NGT_TO!F169</f>
        <v>0</v>
      </c>
      <c r="G94" s="43" t="s">
        <v>148</v>
      </c>
      <c r="AU94" s="174">
        <f>NGT_TO!AU169</f>
        <v>0</v>
      </c>
      <c r="AV94" s="50">
        <f>NGT_TO!AV169</f>
        <v>0</v>
      </c>
      <c r="AW94" s="49">
        <f>NGT_TO!AW169</f>
        <v>0</v>
      </c>
      <c r="AX94"/>
      <c r="AY94" s="54">
        <f t="shared" si="6"/>
        <v>0</v>
      </c>
      <c r="AZ94"/>
      <c r="BA94" s="44" t="str">
        <f ca="1">$A$1</f>
        <v>VariantAllowances</v>
      </c>
      <c r="BB94" s="44" t="str">
        <f t="shared" si="4"/>
        <v>TO variant allowances</v>
      </c>
      <c r="BC94" s="44" t="str">
        <f>$B$52</f>
        <v>Variant attributes</v>
      </c>
    </row>
    <row r="95" spans="5:55">
      <c r="E95" s="43" t="str">
        <f>NGT_TO!E170</f>
        <v>Spare 8</v>
      </c>
      <c r="F95" s="150">
        <f>NGT_TO!F170</f>
        <v>0</v>
      </c>
      <c r="G95" s="43" t="s">
        <v>148</v>
      </c>
      <c r="AU95" s="174">
        <f>NGT_TO!AU170</f>
        <v>0</v>
      </c>
      <c r="AV95" s="50">
        <f>NGT_TO!AV170</f>
        <v>0</v>
      </c>
      <c r="AW95" s="49">
        <f>NGT_TO!AW170</f>
        <v>0</v>
      </c>
      <c r="AX95"/>
      <c r="AY95" s="54">
        <f t="shared" si="6"/>
        <v>0</v>
      </c>
      <c r="AZ95"/>
      <c r="BA95" s="44" t="str">
        <f ca="1">$A$1</f>
        <v>VariantAllowances</v>
      </c>
      <c r="BB95" s="44" t="str">
        <f t="shared" si="4"/>
        <v>TO variant allowances</v>
      </c>
      <c r="BC95" s="44" t="str">
        <f>$B$52</f>
        <v>Variant attributes</v>
      </c>
    </row>
    <row r="96" spans="5:55">
      <c r="AZ96"/>
    </row>
    <row r="97" spans="2:55" ht="17.5" thickBot="1">
      <c r="B97" s="11" t="s">
        <v>135</v>
      </c>
      <c r="AZ97"/>
    </row>
    <row r="98" spans="2:55" ht="16.5" thickTop="1">
      <c r="E98" s="195" t="str">
        <f>NGT_TO!E173</f>
        <v>Baseline Network Risk Output</v>
      </c>
      <c r="F98" s="221"/>
      <c r="G98" s="196" t="s">
        <v>33</v>
      </c>
      <c r="H98" s="196" t="str">
        <f>NGT_TO!H173</f>
        <v>Load related capex</v>
      </c>
      <c r="I98" s="196"/>
      <c r="J98" s="196"/>
      <c r="K98" s="196"/>
      <c r="L98" s="196"/>
      <c r="M98" s="196"/>
      <c r="N98" s="196"/>
      <c r="O98" s="196"/>
      <c r="P98" s="196"/>
      <c r="Q98" s="196"/>
      <c r="R98" s="196"/>
      <c r="S98" s="196"/>
      <c r="T98" s="196"/>
      <c r="U98" s="196"/>
      <c r="V98" s="196"/>
      <c r="W98" s="196"/>
      <c r="X98" s="196"/>
      <c r="Y98" s="196"/>
      <c r="Z98" s="196"/>
      <c r="AA98" s="196"/>
      <c r="AB98" s="196"/>
      <c r="AC98" s="196"/>
      <c r="AD98" s="196"/>
      <c r="AE98" s="196"/>
      <c r="AF98" s="196"/>
      <c r="AG98" s="196"/>
      <c r="AH98" s="196"/>
      <c r="AI98" s="196"/>
      <c r="AJ98" s="196"/>
      <c r="AK98" s="196"/>
      <c r="AL98" s="196"/>
      <c r="AM98" s="196"/>
      <c r="AN98" s="196"/>
      <c r="AO98" s="196"/>
      <c r="AP98" s="196"/>
      <c r="AQ98" s="196"/>
      <c r="AR98" s="196"/>
      <c r="AS98" s="196"/>
      <c r="AT98" s="197"/>
      <c r="AU98" s="222">
        <f>NGT_TO!AU173</f>
        <v>0</v>
      </c>
      <c r="AV98" s="223">
        <f>NGT_TO!AV173</f>
        <v>0</v>
      </c>
      <c r="AW98" s="223">
        <f>NGT_TO!AW173</f>
        <v>0</v>
      </c>
      <c r="AX98" s="223">
        <f>NGT_TO!AX173</f>
        <v>0</v>
      </c>
      <c r="AY98" s="224">
        <f>NGT_TO!AY173</f>
        <v>0</v>
      </c>
      <c r="AZ98"/>
      <c r="BA98" s="44" t="str">
        <f t="shared" ref="BA98:BA106" ca="1" si="8">$A$1</f>
        <v>VariantAllowances</v>
      </c>
      <c r="BB98" s="44" t="str">
        <f t="shared" ref="BB98:BB161" si="9">$A$6</f>
        <v>TO variant allowances</v>
      </c>
      <c r="BC98" s="44" t="str">
        <f t="shared" ref="BC98:BC161" si="10">$B$97</f>
        <v>Variant allowances percentage allocation</v>
      </c>
    </row>
    <row r="99" spans="2:55">
      <c r="E99" s="212" t="str">
        <f>NGT_TO!E174</f>
        <v>Baseline Network Risk Output</v>
      </c>
      <c r="G99" s="43" t="s">
        <v>33</v>
      </c>
      <c r="H99" s="43" t="str">
        <f>NGT_TO!H174</f>
        <v>Asset replacement capex</v>
      </c>
      <c r="AU99" s="175">
        <f>NGT_TO!AU174</f>
        <v>1</v>
      </c>
      <c r="AV99" s="56">
        <f>NGT_TO!AV174</f>
        <v>1</v>
      </c>
      <c r="AW99" s="56">
        <f>NGT_TO!AW174</f>
        <v>1</v>
      </c>
      <c r="AX99" s="56">
        <f>NGT_TO!AX174</f>
        <v>1</v>
      </c>
      <c r="AY99" s="186">
        <f>NGT_TO!AY174</f>
        <v>1</v>
      </c>
      <c r="AZ99"/>
      <c r="BA99" s="44" t="str">
        <f t="shared" ca="1" si="8"/>
        <v>VariantAllowances</v>
      </c>
      <c r="BB99" s="44" t="str">
        <f t="shared" si="9"/>
        <v>TO variant allowances</v>
      </c>
      <c r="BC99" s="44" t="str">
        <f t="shared" si="10"/>
        <v>Variant allowances percentage allocation</v>
      </c>
    </row>
    <row r="100" spans="2:55">
      <c r="E100" s="212" t="str">
        <f>NGT_TO!E175</f>
        <v>Baseline Network Risk Output</v>
      </c>
      <c r="G100" s="43" t="s">
        <v>33</v>
      </c>
      <c r="H100" s="43" t="str">
        <f>NGT_TO!H175</f>
        <v>Other capex</v>
      </c>
      <c r="AU100" s="175">
        <f>NGT_TO!AU175</f>
        <v>0</v>
      </c>
      <c r="AV100" s="56">
        <f>NGT_TO!AV175</f>
        <v>0</v>
      </c>
      <c r="AW100" s="56">
        <f>NGT_TO!AW175</f>
        <v>0</v>
      </c>
      <c r="AX100" s="56">
        <f>NGT_TO!AX175</f>
        <v>0</v>
      </c>
      <c r="AY100" s="186">
        <f>NGT_TO!AY175</f>
        <v>0</v>
      </c>
      <c r="AZ100"/>
      <c r="BA100" s="44" t="str">
        <f t="shared" ca="1" si="8"/>
        <v>VariantAllowances</v>
      </c>
      <c r="BB100" s="44" t="str">
        <f t="shared" si="9"/>
        <v>TO variant allowances</v>
      </c>
      <c r="BC100" s="44" t="str">
        <f t="shared" si="10"/>
        <v>Variant allowances percentage allocation</v>
      </c>
    </row>
    <row r="101" spans="2:55">
      <c r="E101" s="212" t="str">
        <f>NGT_TO!E176</f>
        <v>Baseline Network Risk Output</v>
      </c>
      <c r="G101" s="43" t="s">
        <v>33</v>
      </c>
      <c r="H101" s="43" t="str">
        <f>NGT_TO!H176</f>
        <v>Non-operational capex</v>
      </c>
      <c r="AU101" s="175">
        <f>NGT_TO!AU176</f>
        <v>0</v>
      </c>
      <c r="AV101" s="56">
        <f>NGT_TO!AV176</f>
        <v>0</v>
      </c>
      <c r="AW101" s="56">
        <f>NGT_TO!AW176</f>
        <v>0</v>
      </c>
      <c r="AX101" s="56">
        <f>NGT_TO!AX176</f>
        <v>0</v>
      </c>
      <c r="AY101" s="186">
        <f>NGT_TO!AY176</f>
        <v>0</v>
      </c>
      <c r="AZ101"/>
      <c r="BA101" s="44" t="str">
        <f t="shared" ca="1" si="8"/>
        <v>VariantAllowances</v>
      </c>
      <c r="BB101" s="44" t="str">
        <f t="shared" si="9"/>
        <v>TO variant allowances</v>
      </c>
      <c r="BC101" s="44" t="str">
        <f t="shared" si="10"/>
        <v>Variant allowances percentage allocation</v>
      </c>
    </row>
    <row r="102" spans="2:55">
      <c r="E102" s="212" t="str">
        <f>NGT_TO!E177</f>
        <v>Baseline Network Risk Output</v>
      </c>
      <c r="G102" s="43" t="s">
        <v>33</v>
      </c>
      <c r="H102" s="43" t="str">
        <f>NGT_TO!H177</f>
        <v>Non-load (opex)</v>
      </c>
      <c r="AU102" s="175">
        <f>NGT_TO!AU177</f>
        <v>0</v>
      </c>
      <c r="AV102" s="56">
        <f>NGT_TO!AV177</f>
        <v>0</v>
      </c>
      <c r="AW102" s="56">
        <f>NGT_TO!AW177</f>
        <v>0</v>
      </c>
      <c r="AX102" s="56">
        <f>NGT_TO!AX177</f>
        <v>0</v>
      </c>
      <c r="AY102" s="186">
        <f>NGT_TO!AY177</f>
        <v>0</v>
      </c>
      <c r="AZ102"/>
      <c r="BA102" s="44" t="str">
        <f t="shared" ca="1" si="8"/>
        <v>VariantAllowances</v>
      </c>
      <c r="BB102" s="44" t="str">
        <f t="shared" si="9"/>
        <v>TO variant allowances</v>
      </c>
      <c r="BC102" s="44" t="str">
        <f t="shared" si="10"/>
        <v>Variant allowances percentage allocation</v>
      </c>
    </row>
    <row r="103" spans="2:55">
      <c r="E103" s="201" t="str">
        <f>NGT_TO!E178</f>
        <v>Baseline Network Risk Output</v>
      </c>
      <c r="F103" s="225"/>
      <c r="G103" s="202" t="s">
        <v>33</v>
      </c>
      <c r="H103" s="202" t="str">
        <f>NGT_TO!H178</f>
        <v>Indirects (opex)</v>
      </c>
      <c r="I103" s="202"/>
      <c r="J103" s="202"/>
      <c r="K103" s="202"/>
      <c r="L103" s="202"/>
      <c r="M103" s="202"/>
      <c r="N103" s="202"/>
      <c r="O103" s="202"/>
      <c r="P103" s="202"/>
      <c r="Q103" s="202"/>
      <c r="R103" s="202"/>
      <c r="S103" s="202"/>
      <c r="T103" s="202"/>
      <c r="U103" s="202"/>
      <c r="V103" s="202"/>
      <c r="W103" s="202"/>
      <c r="X103" s="202"/>
      <c r="Y103" s="202"/>
      <c r="Z103" s="202"/>
      <c r="AA103" s="202"/>
      <c r="AB103" s="202"/>
      <c r="AC103" s="202"/>
      <c r="AD103" s="202"/>
      <c r="AE103" s="202"/>
      <c r="AF103" s="202"/>
      <c r="AG103" s="202"/>
      <c r="AH103" s="202"/>
      <c r="AI103" s="202"/>
      <c r="AJ103" s="202"/>
      <c r="AK103" s="202"/>
      <c r="AL103" s="202"/>
      <c r="AM103" s="202"/>
      <c r="AN103" s="202"/>
      <c r="AO103" s="202"/>
      <c r="AP103" s="202"/>
      <c r="AQ103" s="202"/>
      <c r="AR103" s="202"/>
      <c r="AS103" s="202"/>
      <c r="AT103" s="203"/>
      <c r="AU103" s="226">
        <f>NGT_TO!AU178</f>
        <v>0</v>
      </c>
      <c r="AV103" s="227">
        <f>NGT_TO!AV178</f>
        <v>0</v>
      </c>
      <c r="AW103" s="227">
        <f>NGT_TO!AW178</f>
        <v>0</v>
      </c>
      <c r="AX103" s="227">
        <f>NGT_TO!AX178</f>
        <v>0</v>
      </c>
      <c r="AY103" s="228">
        <f>NGT_TO!AY178</f>
        <v>0</v>
      </c>
      <c r="AZ103"/>
      <c r="BA103" s="44" t="str">
        <f t="shared" ca="1" si="8"/>
        <v>VariantAllowances</v>
      </c>
      <c r="BB103" s="44" t="str">
        <f t="shared" si="9"/>
        <v>TO variant allowances</v>
      </c>
      <c r="BC103" s="44" t="str">
        <f t="shared" si="10"/>
        <v>Variant allowances percentage allocation</v>
      </c>
    </row>
    <row r="104" spans="2:55">
      <c r="E104" s="195" t="str">
        <f>NGT_TO!E179</f>
        <v>NARM Asset Health Re-opener</v>
      </c>
      <c r="F104" s="221"/>
      <c r="G104" s="196" t="s">
        <v>33</v>
      </c>
      <c r="H104" s="196" t="str">
        <f>NGT_TO!H179</f>
        <v>Load related capex</v>
      </c>
      <c r="I104" s="196"/>
      <c r="J104" s="196"/>
      <c r="K104" s="196"/>
      <c r="L104" s="196"/>
      <c r="M104" s="196"/>
      <c r="N104" s="196"/>
      <c r="O104" s="196"/>
      <c r="P104" s="196"/>
      <c r="Q104" s="196"/>
      <c r="R104" s="196"/>
      <c r="S104" s="196"/>
      <c r="T104" s="196"/>
      <c r="U104" s="196"/>
      <c r="V104" s="196"/>
      <c r="W104" s="196"/>
      <c r="X104" s="196"/>
      <c r="Y104" s="196"/>
      <c r="Z104" s="196"/>
      <c r="AA104" s="196"/>
      <c r="AB104" s="196"/>
      <c r="AC104" s="196"/>
      <c r="AD104" s="196"/>
      <c r="AE104" s="196"/>
      <c r="AF104" s="196"/>
      <c r="AG104" s="196"/>
      <c r="AH104" s="196"/>
      <c r="AI104" s="196"/>
      <c r="AJ104" s="196"/>
      <c r="AK104" s="196"/>
      <c r="AL104" s="196"/>
      <c r="AM104" s="196"/>
      <c r="AN104" s="196"/>
      <c r="AO104" s="196"/>
      <c r="AP104" s="196"/>
      <c r="AQ104" s="196"/>
      <c r="AR104" s="196"/>
      <c r="AS104" s="196"/>
      <c r="AT104" s="197"/>
      <c r="AU104" s="222">
        <f>NGT_TO!AU179</f>
        <v>0</v>
      </c>
      <c r="AV104" s="223">
        <f>NGT_TO!AV179</f>
        <v>0</v>
      </c>
      <c r="AW104" s="223">
        <f>NGT_TO!AW179</f>
        <v>0</v>
      </c>
      <c r="AX104" s="223">
        <f>NGT_TO!AX179</f>
        <v>0</v>
      </c>
      <c r="AY104" s="224">
        <f>NGT_TO!AY179</f>
        <v>0</v>
      </c>
      <c r="AZ104"/>
      <c r="BA104" s="44" t="str">
        <f t="shared" ca="1" si="8"/>
        <v>VariantAllowances</v>
      </c>
      <c r="BB104" s="44" t="str">
        <f t="shared" si="9"/>
        <v>TO variant allowances</v>
      </c>
      <c r="BC104" s="44" t="str">
        <f t="shared" si="10"/>
        <v>Variant allowances percentage allocation</v>
      </c>
    </row>
    <row r="105" spans="2:55">
      <c r="E105" s="212" t="str">
        <f>NGT_TO!E180</f>
        <v>NARM Asset Health Re-opener</v>
      </c>
      <c r="G105" s="43" t="s">
        <v>33</v>
      </c>
      <c r="H105" s="43" t="str">
        <f>NGT_TO!H180</f>
        <v>Asset replacement capex</v>
      </c>
      <c r="AU105" s="175">
        <f>NGT_TO!AU180</f>
        <v>0</v>
      </c>
      <c r="AV105" s="56">
        <f>NGT_TO!AV180</f>
        <v>0</v>
      </c>
      <c r="AW105" s="56">
        <f>NGT_TO!AW180</f>
        <v>0</v>
      </c>
      <c r="AX105" s="56">
        <f>NGT_TO!AX180</f>
        <v>0</v>
      </c>
      <c r="AY105" s="186">
        <f>NGT_TO!AY180</f>
        <v>0</v>
      </c>
      <c r="AZ105"/>
      <c r="BA105" s="44" t="str">
        <f t="shared" ca="1" si="8"/>
        <v>VariantAllowances</v>
      </c>
      <c r="BB105" s="44" t="str">
        <f t="shared" si="9"/>
        <v>TO variant allowances</v>
      </c>
      <c r="BC105" s="44" t="str">
        <f t="shared" si="10"/>
        <v>Variant allowances percentage allocation</v>
      </c>
    </row>
    <row r="106" spans="2:55">
      <c r="E106" s="212" t="str">
        <f>NGT_TO!E181</f>
        <v>NARM Asset Health Re-opener</v>
      </c>
      <c r="G106" s="43" t="s">
        <v>33</v>
      </c>
      <c r="H106" s="43" t="str">
        <f>NGT_TO!H181</f>
        <v>Other capex</v>
      </c>
      <c r="AU106" s="175">
        <f>NGT_TO!AU181</f>
        <v>0</v>
      </c>
      <c r="AV106" s="56">
        <f>NGT_TO!AV181</f>
        <v>0</v>
      </c>
      <c r="AW106" s="56">
        <f>NGT_TO!AW181</f>
        <v>0</v>
      </c>
      <c r="AX106" s="56">
        <f>NGT_TO!AX181</f>
        <v>0</v>
      </c>
      <c r="AY106" s="186">
        <f>NGT_TO!AY181</f>
        <v>0</v>
      </c>
      <c r="AZ106"/>
      <c r="BA106" s="44" t="str">
        <f t="shared" ca="1" si="8"/>
        <v>VariantAllowances</v>
      </c>
      <c r="BB106" s="44" t="str">
        <f t="shared" si="9"/>
        <v>TO variant allowances</v>
      </c>
      <c r="BC106" s="44" t="str">
        <f t="shared" si="10"/>
        <v>Variant allowances percentage allocation</v>
      </c>
    </row>
    <row r="107" spans="2:55">
      <c r="E107" s="212" t="str">
        <f>NGT_TO!E182</f>
        <v>NARM Asset Health Re-opener</v>
      </c>
      <c r="G107" s="43" t="s">
        <v>33</v>
      </c>
      <c r="H107" s="43" t="str">
        <f>NGT_TO!H182</f>
        <v>Non-operational capex</v>
      </c>
      <c r="AU107" s="175">
        <f>NGT_TO!AU182</f>
        <v>0</v>
      </c>
      <c r="AV107" s="56">
        <f>NGT_TO!AV182</f>
        <v>0</v>
      </c>
      <c r="AW107" s="56">
        <f>NGT_TO!AW182</f>
        <v>0</v>
      </c>
      <c r="AX107" s="56">
        <f>NGT_TO!AX182</f>
        <v>0</v>
      </c>
      <c r="AY107" s="186">
        <f>NGT_TO!AY182</f>
        <v>0</v>
      </c>
      <c r="AZ107"/>
      <c r="BA107" s="44" t="str">
        <f t="shared" ref="BA107:BA170" ca="1" si="11">$A$1</f>
        <v>VariantAllowances</v>
      </c>
      <c r="BB107" s="44" t="str">
        <f t="shared" si="9"/>
        <v>TO variant allowances</v>
      </c>
      <c r="BC107" s="44" t="str">
        <f t="shared" si="10"/>
        <v>Variant allowances percentage allocation</v>
      </c>
    </row>
    <row r="108" spans="2:55">
      <c r="E108" s="212" t="str">
        <f>NGT_TO!E183</f>
        <v>NARM Asset Health Re-opener</v>
      </c>
      <c r="G108" s="43" t="s">
        <v>33</v>
      </c>
      <c r="H108" s="43" t="str">
        <f>NGT_TO!H183</f>
        <v>Non-load (opex)</v>
      </c>
      <c r="AU108" s="175">
        <f>NGT_TO!AU183</f>
        <v>0</v>
      </c>
      <c r="AV108" s="56">
        <f>NGT_TO!AV183</f>
        <v>0</v>
      </c>
      <c r="AW108" s="56">
        <f>NGT_TO!AW183</f>
        <v>0</v>
      </c>
      <c r="AX108" s="56">
        <f>NGT_TO!AX183</f>
        <v>0</v>
      </c>
      <c r="AY108" s="186">
        <f>NGT_TO!AY183</f>
        <v>0</v>
      </c>
      <c r="AZ108"/>
      <c r="BA108" s="44" t="str">
        <f t="shared" ca="1" si="11"/>
        <v>VariantAllowances</v>
      </c>
      <c r="BB108" s="44" t="str">
        <f t="shared" si="9"/>
        <v>TO variant allowances</v>
      </c>
      <c r="BC108" s="44" t="str">
        <f t="shared" si="10"/>
        <v>Variant allowances percentage allocation</v>
      </c>
    </row>
    <row r="109" spans="2:55">
      <c r="E109" s="201" t="str">
        <f>NGT_TO!E184</f>
        <v>NARM Asset Health Re-opener</v>
      </c>
      <c r="F109" s="225"/>
      <c r="G109" s="202" t="s">
        <v>33</v>
      </c>
      <c r="H109" s="202" t="str">
        <f>NGT_TO!H184</f>
        <v>Indirects (opex)</v>
      </c>
      <c r="I109" s="202"/>
      <c r="J109" s="202"/>
      <c r="K109" s="202"/>
      <c r="L109" s="202"/>
      <c r="M109" s="202"/>
      <c r="N109" s="202"/>
      <c r="O109" s="202"/>
      <c r="P109" s="202"/>
      <c r="Q109" s="202"/>
      <c r="R109" s="202"/>
      <c r="S109" s="202"/>
      <c r="T109" s="202"/>
      <c r="U109" s="202"/>
      <c r="V109" s="202"/>
      <c r="W109" s="202"/>
      <c r="X109" s="202"/>
      <c r="Y109" s="202"/>
      <c r="Z109" s="202"/>
      <c r="AA109" s="202"/>
      <c r="AB109" s="202"/>
      <c r="AC109" s="202"/>
      <c r="AD109" s="202"/>
      <c r="AE109" s="202"/>
      <c r="AF109" s="202"/>
      <c r="AG109" s="202"/>
      <c r="AH109" s="202"/>
      <c r="AI109" s="202"/>
      <c r="AJ109" s="202"/>
      <c r="AK109" s="202"/>
      <c r="AL109" s="202"/>
      <c r="AM109" s="202"/>
      <c r="AN109" s="202"/>
      <c r="AO109" s="202"/>
      <c r="AP109" s="202"/>
      <c r="AQ109" s="202"/>
      <c r="AR109" s="202"/>
      <c r="AS109" s="202"/>
      <c r="AT109" s="203"/>
      <c r="AU109" s="226">
        <f>NGT_TO!AU184</f>
        <v>0</v>
      </c>
      <c r="AV109" s="227">
        <f>NGT_TO!AV184</f>
        <v>0</v>
      </c>
      <c r="AW109" s="227">
        <f>NGT_TO!AW184</f>
        <v>0</v>
      </c>
      <c r="AX109" s="227">
        <f>NGT_TO!AX184</f>
        <v>0</v>
      </c>
      <c r="AY109" s="228">
        <f>NGT_TO!AY184</f>
        <v>0</v>
      </c>
      <c r="AZ109"/>
      <c r="BA109" s="44" t="str">
        <f t="shared" ca="1" si="11"/>
        <v>VariantAllowances</v>
      </c>
      <c r="BB109" s="44" t="str">
        <f t="shared" si="9"/>
        <v>TO variant allowances</v>
      </c>
      <c r="BC109" s="44" t="str">
        <f t="shared" si="10"/>
        <v>Variant allowances percentage allocation</v>
      </c>
    </row>
    <row r="110" spans="2:55">
      <c r="E110" s="195" t="str">
        <f>NGT_TO!E185</f>
        <v>Cyber resilience term Price Control Deliverable</v>
      </c>
      <c r="F110" s="221"/>
      <c r="G110" s="196" t="s">
        <v>33</v>
      </c>
      <c r="H110" s="196" t="str">
        <f>NGT_TO!H185</f>
        <v>Load related capex</v>
      </c>
      <c r="I110" s="196"/>
      <c r="J110" s="196"/>
      <c r="K110" s="196"/>
      <c r="L110" s="196"/>
      <c r="M110" s="196"/>
      <c r="N110" s="196"/>
      <c r="O110" s="196"/>
      <c r="P110" s="196"/>
      <c r="Q110" s="196"/>
      <c r="R110" s="196"/>
      <c r="S110" s="196"/>
      <c r="T110" s="196"/>
      <c r="U110" s="196"/>
      <c r="V110" s="196"/>
      <c r="W110" s="196"/>
      <c r="X110" s="196"/>
      <c r="Y110" s="196"/>
      <c r="Z110" s="196"/>
      <c r="AA110" s="196"/>
      <c r="AB110" s="196"/>
      <c r="AC110" s="196"/>
      <c r="AD110" s="196"/>
      <c r="AE110" s="196"/>
      <c r="AF110" s="196"/>
      <c r="AG110" s="196"/>
      <c r="AH110" s="196"/>
      <c r="AI110" s="196"/>
      <c r="AJ110" s="196"/>
      <c r="AK110" s="196"/>
      <c r="AL110" s="196"/>
      <c r="AM110" s="196"/>
      <c r="AN110" s="196"/>
      <c r="AO110" s="196"/>
      <c r="AP110" s="196"/>
      <c r="AQ110" s="196"/>
      <c r="AR110" s="196"/>
      <c r="AS110" s="196"/>
      <c r="AT110" s="197"/>
      <c r="AU110" s="222">
        <f>NGT_TO!AU185</f>
        <v>0</v>
      </c>
      <c r="AV110" s="223">
        <f>NGT_TO!AV185</f>
        <v>0</v>
      </c>
      <c r="AW110" s="223">
        <f>NGT_TO!AW185</f>
        <v>0</v>
      </c>
      <c r="AX110" s="223">
        <f>NGT_TO!AX185</f>
        <v>0</v>
      </c>
      <c r="AY110" s="224">
        <f>NGT_TO!AY185</f>
        <v>0</v>
      </c>
      <c r="AZ110"/>
      <c r="BA110" s="44" t="str">
        <f t="shared" ca="1" si="11"/>
        <v>VariantAllowances</v>
      </c>
      <c r="BB110" s="44" t="str">
        <f t="shared" si="9"/>
        <v>TO variant allowances</v>
      </c>
      <c r="BC110" s="44" t="str">
        <f t="shared" si="10"/>
        <v>Variant allowances percentage allocation</v>
      </c>
    </row>
    <row r="111" spans="2:55">
      <c r="E111" s="212" t="str">
        <f>NGT_TO!E186</f>
        <v>Cyber resilience term Price Control Deliverable</v>
      </c>
      <c r="G111" s="43" t="s">
        <v>33</v>
      </c>
      <c r="H111" s="43" t="str">
        <f>NGT_TO!H186</f>
        <v>Asset replacement capex</v>
      </c>
      <c r="AU111" s="175">
        <f>NGT_TO!AU186</f>
        <v>0</v>
      </c>
      <c r="AV111" s="56">
        <f>NGT_TO!AV186</f>
        <v>0</v>
      </c>
      <c r="AW111" s="56">
        <f>NGT_TO!AW186</f>
        <v>0</v>
      </c>
      <c r="AX111" s="56">
        <f>NGT_TO!AX186</f>
        <v>0</v>
      </c>
      <c r="AY111" s="186">
        <f>NGT_TO!AY186</f>
        <v>0</v>
      </c>
      <c r="AZ111"/>
      <c r="BA111" s="44" t="str">
        <f t="shared" ca="1" si="11"/>
        <v>VariantAllowances</v>
      </c>
      <c r="BB111" s="44" t="str">
        <f t="shared" si="9"/>
        <v>TO variant allowances</v>
      </c>
      <c r="BC111" s="44" t="str">
        <f t="shared" si="10"/>
        <v>Variant allowances percentage allocation</v>
      </c>
    </row>
    <row r="112" spans="2:55">
      <c r="E112" s="212" t="str">
        <f>NGT_TO!E187</f>
        <v>Cyber resilience term Price Control Deliverable</v>
      </c>
      <c r="G112" s="43" t="s">
        <v>33</v>
      </c>
      <c r="H112" s="43" t="str">
        <f>NGT_TO!H187</f>
        <v>Other capex</v>
      </c>
      <c r="AU112" s="175">
        <f>NGT_TO!AU187</f>
        <v>0.56771067882028503</v>
      </c>
      <c r="AV112" s="56">
        <f>NGT_TO!AV187</f>
        <v>0.56771067882028503</v>
      </c>
      <c r="AW112" s="56">
        <f>NGT_TO!AW187</f>
        <v>0.56771067882028503</v>
      </c>
      <c r="AX112" s="56">
        <f>NGT_TO!AX187</f>
        <v>0.56771067882028503</v>
      </c>
      <c r="AY112" s="186">
        <f>NGT_TO!AY187</f>
        <v>0.56771067882028503</v>
      </c>
      <c r="AZ112"/>
      <c r="BA112" s="44" t="str">
        <f t="shared" ca="1" si="11"/>
        <v>VariantAllowances</v>
      </c>
      <c r="BB112" s="44" t="str">
        <f t="shared" si="9"/>
        <v>TO variant allowances</v>
      </c>
      <c r="BC112" s="44" t="str">
        <f t="shared" si="10"/>
        <v>Variant allowances percentage allocation</v>
      </c>
    </row>
    <row r="113" spans="5:55">
      <c r="E113" s="212" t="str">
        <f>NGT_TO!E188</f>
        <v>Cyber resilience term Price Control Deliverable</v>
      </c>
      <c r="G113" s="43" t="s">
        <v>33</v>
      </c>
      <c r="H113" s="43" t="str">
        <f>NGT_TO!H188</f>
        <v>Non-operational capex</v>
      </c>
      <c r="AU113" s="175">
        <f>NGT_TO!AU188</f>
        <v>0</v>
      </c>
      <c r="AV113" s="56">
        <f>NGT_TO!AV188</f>
        <v>0</v>
      </c>
      <c r="AW113" s="56">
        <f>NGT_TO!AW188</f>
        <v>0</v>
      </c>
      <c r="AX113" s="56">
        <f>NGT_TO!AX188</f>
        <v>0</v>
      </c>
      <c r="AY113" s="186">
        <f>NGT_TO!AY188</f>
        <v>0</v>
      </c>
      <c r="AZ113"/>
      <c r="BA113" s="44" t="str">
        <f t="shared" ca="1" si="11"/>
        <v>VariantAllowances</v>
      </c>
      <c r="BB113" s="44" t="str">
        <f t="shared" si="9"/>
        <v>TO variant allowances</v>
      </c>
      <c r="BC113" s="44" t="str">
        <f t="shared" si="10"/>
        <v>Variant allowances percentage allocation</v>
      </c>
    </row>
    <row r="114" spans="5:55">
      <c r="E114" s="212" t="str">
        <f>NGT_TO!E189</f>
        <v>Cyber resilience term Price Control Deliverable</v>
      </c>
      <c r="G114" s="43" t="s">
        <v>33</v>
      </c>
      <c r="H114" s="43" t="str">
        <f>NGT_TO!H189</f>
        <v>Non-load (opex)</v>
      </c>
      <c r="AU114" s="175">
        <f>NGT_TO!AU189</f>
        <v>0</v>
      </c>
      <c r="AV114" s="56">
        <f>NGT_TO!AV189</f>
        <v>0</v>
      </c>
      <c r="AW114" s="56">
        <f>NGT_TO!AW189</f>
        <v>0</v>
      </c>
      <c r="AX114" s="56">
        <f>NGT_TO!AX189</f>
        <v>0</v>
      </c>
      <c r="AY114" s="186">
        <f>NGT_TO!AY189</f>
        <v>0</v>
      </c>
      <c r="AZ114"/>
      <c r="BA114" s="44" t="str">
        <f t="shared" ca="1" si="11"/>
        <v>VariantAllowances</v>
      </c>
      <c r="BB114" s="44" t="str">
        <f t="shared" si="9"/>
        <v>TO variant allowances</v>
      </c>
      <c r="BC114" s="44" t="str">
        <f t="shared" si="10"/>
        <v>Variant allowances percentage allocation</v>
      </c>
    </row>
    <row r="115" spans="5:55">
      <c r="E115" s="201" t="str">
        <f>NGT_TO!E190</f>
        <v>Cyber resilience term Price Control Deliverable</v>
      </c>
      <c r="F115" s="225"/>
      <c r="G115" s="202" t="s">
        <v>33</v>
      </c>
      <c r="H115" s="202" t="str">
        <f>NGT_TO!H190</f>
        <v>Indirects (opex)</v>
      </c>
      <c r="I115" s="202"/>
      <c r="J115" s="202"/>
      <c r="K115" s="202"/>
      <c r="L115" s="202"/>
      <c r="M115" s="202"/>
      <c r="N115" s="202"/>
      <c r="O115" s="202"/>
      <c r="P115" s="202"/>
      <c r="Q115" s="202"/>
      <c r="R115" s="202"/>
      <c r="S115" s="202"/>
      <c r="T115" s="202"/>
      <c r="U115" s="202"/>
      <c r="V115" s="202"/>
      <c r="W115" s="202"/>
      <c r="X115" s="202"/>
      <c r="Y115" s="202"/>
      <c r="Z115" s="202"/>
      <c r="AA115" s="202"/>
      <c r="AB115" s="202"/>
      <c r="AC115" s="202"/>
      <c r="AD115" s="202"/>
      <c r="AE115" s="202"/>
      <c r="AF115" s="202"/>
      <c r="AG115" s="202"/>
      <c r="AH115" s="202"/>
      <c r="AI115" s="202"/>
      <c r="AJ115" s="202"/>
      <c r="AK115" s="202"/>
      <c r="AL115" s="202"/>
      <c r="AM115" s="202"/>
      <c r="AN115" s="202"/>
      <c r="AO115" s="202"/>
      <c r="AP115" s="202"/>
      <c r="AQ115" s="202"/>
      <c r="AR115" s="202"/>
      <c r="AS115" s="202"/>
      <c r="AT115" s="203"/>
      <c r="AU115" s="226">
        <f>NGT_TO!AU190</f>
        <v>0.43228932117971497</v>
      </c>
      <c r="AV115" s="227">
        <f>NGT_TO!AV190</f>
        <v>0.43228932117971497</v>
      </c>
      <c r="AW115" s="227">
        <f>NGT_TO!AW190</f>
        <v>0.43228932117971497</v>
      </c>
      <c r="AX115" s="227">
        <f>NGT_TO!AX190</f>
        <v>0.43228932117971497</v>
      </c>
      <c r="AY115" s="228">
        <f>NGT_TO!AY190</f>
        <v>0.43228932117971497</v>
      </c>
      <c r="AZ115"/>
      <c r="BA115" s="44" t="str">
        <f t="shared" ca="1" si="11"/>
        <v>VariantAllowances</v>
      </c>
      <c r="BB115" s="44" t="str">
        <f t="shared" si="9"/>
        <v>TO variant allowances</v>
      </c>
      <c r="BC115" s="44" t="str">
        <f t="shared" si="10"/>
        <v>Variant allowances percentage allocation</v>
      </c>
    </row>
    <row r="116" spans="5:55">
      <c r="E116" s="195" t="str">
        <f>NGT_TO!E191</f>
        <v>Cyber resilience Re-Opener</v>
      </c>
      <c r="F116" s="221"/>
      <c r="G116" s="196" t="s">
        <v>33</v>
      </c>
      <c r="H116" s="196" t="str">
        <f>NGT_TO!H191</f>
        <v>Load related capex</v>
      </c>
      <c r="I116" s="196"/>
      <c r="J116" s="196"/>
      <c r="K116" s="196"/>
      <c r="L116" s="196"/>
      <c r="M116" s="196"/>
      <c r="N116" s="196"/>
      <c r="O116" s="196"/>
      <c r="P116" s="196"/>
      <c r="Q116" s="196"/>
      <c r="R116" s="196"/>
      <c r="S116" s="196"/>
      <c r="T116" s="196"/>
      <c r="U116" s="196"/>
      <c r="V116" s="196"/>
      <c r="W116" s="196"/>
      <c r="X116" s="196"/>
      <c r="Y116" s="196"/>
      <c r="Z116" s="196"/>
      <c r="AA116" s="196"/>
      <c r="AB116" s="196"/>
      <c r="AC116" s="196"/>
      <c r="AD116" s="196"/>
      <c r="AE116" s="196"/>
      <c r="AF116" s="196"/>
      <c r="AG116" s="196"/>
      <c r="AH116" s="196"/>
      <c r="AI116" s="196"/>
      <c r="AJ116" s="196"/>
      <c r="AK116" s="196"/>
      <c r="AL116" s="196"/>
      <c r="AM116" s="196"/>
      <c r="AN116" s="196"/>
      <c r="AO116" s="196"/>
      <c r="AP116" s="196"/>
      <c r="AQ116" s="196"/>
      <c r="AR116" s="196"/>
      <c r="AS116" s="196"/>
      <c r="AT116" s="197"/>
      <c r="AU116" s="222">
        <f>NGT_TO!AU191</f>
        <v>0</v>
      </c>
      <c r="AV116" s="223">
        <f>NGT_TO!AV191</f>
        <v>0</v>
      </c>
      <c r="AW116" s="223">
        <f>NGT_TO!AW191</f>
        <v>0</v>
      </c>
      <c r="AX116" s="223">
        <f>NGT_TO!AX191</f>
        <v>0</v>
      </c>
      <c r="AY116" s="224">
        <f>NGT_TO!AY191</f>
        <v>0</v>
      </c>
      <c r="AZ116"/>
      <c r="BA116" s="44" t="str">
        <f t="shared" ca="1" si="11"/>
        <v>VariantAllowances</v>
      </c>
      <c r="BB116" s="44" t="str">
        <f t="shared" si="9"/>
        <v>TO variant allowances</v>
      </c>
      <c r="BC116" s="44" t="str">
        <f t="shared" si="10"/>
        <v>Variant allowances percentage allocation</v>
      </c>
    </row>
    <row r="117" spans="5:55">
      <c r="E117" s="212" t="str">
        <f>NGT_TO!E192</f>
        <v>Cyber resilience Re-Opener</v>
      </c>
      <c r="G117" s="43" t="s">
        <v>33</v>
      </c>
      <c r="H117" s="43" t="str">
        <f>NGT_TO!H192</f>
        <v>Asset replacement capex</v>
      </c>
      <c r="AU117" s="175">
        <f>NGT_TO!AU192</f>
        <v>0</v>
      </c>
      <c r="AV117" s="56">
        <f>NGT_TO!AV192</f>
        <v>0</v>
      </c>
      <c r="AW117" s="56">
        <f>NGT_TO!AW192</f>
        <v>0</v>
      </c>
      <c r="AX117" s="56">
        <f>NGT_TO!AX192</f>
        <v>0</v>
      </c>
      <c r="AY117" s="186">
        <f>NGT_TO!AY192</f>
        <v>0</v>
      </c>
      <c r="AZ117"/>
      <c r="BA117" s="44" t="str">
        <f t="shared" ca="1" si="11"/>
        <v>VariantAllowances</v>
      </c>
      <c r="BB117" s="44" t="str">
        <f t="shared" si="9"/>
        <v>TO variant allowances</v>
      </c>
      <c r="BC117" s="44" t="str">
        <f t="shared" si="10"/>
        <v>Variant allowances percentage allocation</v>
      </c>
    </row>
    <row r="118" spans="5:55">
      <c r="E118" s="212" t="str">
        <f>NGT_TO!E193</f>
        <v>Cyber resilience Re-Opener</v>
      </c>
      <c r="G118" s="43" t="s">
        <v>33</v>
      </c>
      <c r="H118" s="43" t="str">
        <f>NGT_TO!H193</f>
        <v>Other capex</v>
      </c>
      <c r="AU118" s="175">
        <f>NGT_TO!AU193</f>
        <v>0</v>
      </c>
      <c r="AV118" s="56">
        <f>NGT_TO!AV193</f>
        <v>0</v>
      </c>
      <c r="AW118" s="56">
        <f>NGT_TO!AW193</f>
        <v>0</v>
      </c>
      <c r="AX118" s="56">
        <f>NGT_TO!AX193</f>
        <v>0</v>
      </c>
      <c r="AY118" s="186">
        <f>NGT_TO!AY193</f>
        <v>0</v>
      </c>
      <c r="AZ118"/>
      <c r="BA118" s="44" t="str">
        <f t="shared" ca="1" si="11"/>
        <v>VariantAllowances</v>
      </c>
      <c r="BB118" s="44" t="str">
        <f t="shared" si="9"/>
        <v>TO variant allowances</v>
      </c>
      <c r="BC118" s="44" t="str">
        <f t="shared" si="10"/>
        <v>Variant allowances percentage allocation</v>
      </c>
    </row>
    <row r="119" spans="5:55">
      <c r="E119" s="212" t="str">
        <f>NGT_TO!E194</f>
        <v>Cyber resilience Re-Opener</v>
      </c>
      <c r="G119" s="43" t="s">
        <v>33</v>
      </c>
      <c r="H119" s="43" t="str">
        <f>NGT_TO!H194</f>
        <v>Non-operational capex</v>
      </c>
      <c r="AU119" s="175">
        <f>NGT_TO!AU194</f>
        <v>0</v>
      </c>
      <c r="AV119" s="56">
        <f>NGT_TO!AV194</f>
        <v>0</v>
      </c>
      <c r="AW119" s="56">
        <f>NGT_TO!AW194</f>
        <v>0</v>
      </c>
      <c r="AX119" s="56">
        <f>NGT_TO!AX194</f>
        <v>0</v>
      </c>
      <c r="AY119" s="186">
        <f>NGT_TO!AY194</f>
        <v>0</v>
      </c>
      <c r="AZ119"/>
      <c r="BA119" s="44" t="str">
        <f t="shared" ca="1" si="11"/>
        <v>VariantAllowances</v>
      </c>
      <c r="BB119" s="44" t="str">
        <f t="shared" si="9"/>
        <v>TO variant allowances</v>
      </c>
      <c r="BC119" s="44" t="str">
        <f t="shared" si="10"/>
        <v>Variant allowances percentage allocation</v>
      </c>
    </row>
    <row r="120" spans="5:55">
      <c r="E120" s="212" t="str">
        <f>NGT_TO!E195</f>
        <v>Cyber resilience Re-Opener</v>
      </c>
      <c r="G120" s="43" t="s">
        <v>33</v>
      </c>
      <c r="H120" s="43" t="str">
        <f>NGT_TO!H195</f>
        <v>Non-load (opex)</v>
      </c>
      <c r="AU120" s="175">
        <f>NGT_TO!AU195</f>
        <v>0</v>
      </c>
      <c r="AV120" s="56">
        <f>NGT_TO!AV195</f>
        <v>0</v>
      </c>
      <c r="AW120" s="56">
        <f>NGT_TO!AW195</f>
        <v>0</v>
      </c>
      <c r="AX120" s="56">
        <f>NGT_TO!AX195</f>
        <v>0</v>
      </c>
      <c r="AY120" s="186">
        <f>NGT_TO!AY195</f>
        <v>0</v>
      </c>
      <c r="AZ120"/>
      <c r="BA120" s="44" t="str">
        <f t="shared" ca="1" si="11"/>
        <v>VariantAllowances</v>
      </c>
      <c r="BB120" s="44" t="str">
        <f t="shared" si="9"/>
        <v>TO variant allowances</v>
      </c>
      <c r="BC120" s="44" t="str">
        <f t="shared" si="10"/>
        <v>Variant allowances percentage allocation</v>
      </c>
    </row>
    <row r="121" spans="5:55">
      <c r="E121" s="201" t="str">
        <f>NGT_TO!E196</f>
        <v>Cyber resilience Re-Opener</v>
      </c>
      <c r="F121" s="225"/>
      <c r="G121" s="202" t="s">
        <v>33</v>
      </c>
      <c r="H121" s="202" t="str">
        <f>NGT_TO!H196</f>
        <v>Indirects (opex)</v>
      </c>
      <c r="I121" s="202"/>
      <c r="J121" s="202"/>
      <c r="K121" s="202"/>
      <c r="L121" s="202"/>
      <c r="M121" s="202"/>
      <c r="N121" s="202"/>
      <c r="O121" s="202"/>
      <c r="P121" s="202"/>
      <c r="Q121" s="202"/>
      <c r="R121" s="202"/>
      <c r="S121" s="202"/>
      <c r="T121" s="202"/>
      <c r="U121" s="202"/>
      <c r="V121" s="202"/>
      <c r="W121" s="202"/>
      <c r="X121" s="202"/>
      <c r="Y121" s="202"/>
      <c r="Z121" s="202"/>
      <c r="AA121" s="202"/>
      <c r="AB121" s="202"/>
      <c r="AC121" s="202"/>
      <c r="AD121" s="202"/>
      <c r="AE121" s="202"/>
      <c r="AF121" s="202"/>
      <c r="AG121" s="202"/>
      <c r="AH121" s="202"/>
      <c r="AI121" s="202"/>
      <c r="AJ121" s="202"/>
      <c r="AK121" s="202"/>
      <c r="AL121" s="202"/>
      <c r="AM121" s="202"/>
      <c r="AN121" s="202"/>
      <c r="AO121" s="202"/>
      <c r="AP121" s="202"/>
      <c r="AQ121" s="202"/>
      <c r="AR121" s="202"/>
      <c r="AS121" s="202"/>
      <c r="AT121" s="203"/>
      <c r="AU121" s="226">
        <f>NGT_TO!AU196</f>
        <v>0</v>
      </c>
      <c r="AV121" s="227">
        <f>NGT_TO!AV196</f>
        <v>0</v>
      </c>
      <c r="AW121" s="227">
        <f>NGT_TO!AW196</f>
        <v>0</v>
      </c>
      <c r="AX121" s="227">
        <f>NGT_TO!AX196</f>
        <v>0</v>
      </c>
      <c r="AY121" s="228">
        <f>NGT_TO!AY196</f>
        <v>0</v>
      </c>
      <c r="AZ121"/>
      <c r="BA121" s="44" t="str">
        <f t="shared" ca="1" si="11"/>
        <v>VariantAllowances</v>
      </c>
      <c r="BB121" s="44" t="str">
        <f t="shared" si="9"/>
        <v>TO variant allowances</v>
      </c>
      <c r="BC121" s="44" t="str">
        <f t="shared" si="10"/>
        <v>Variant allowances percentage allocation</v>
      </c>
    </row>
    <row r="122" spans="5:55">
      <c r="E122" s="195" t="str">
        <f>NGT_TO!E197</f>
        <v>Cyber resilience Use it or lose it allowance</v>
      </c>
      <c r="F122" s="221"/>
      <c r="G122" s="196" t="s">
        <v>33</v>
      </c>
      <c r="H122" s="196" t="str">
        <f>NGT_TO!H197</f>
        <v>Load related capex</v>
      </c>
      <c r="I122" s="196"/>
      <c r="J122" s="196"/>
      <c r="K122" s="196"/>
      <c r="L122" s="196"/>
      <c r="M122" s="196"/>
      <c r="N122" s="196"/>
      <c r="O122" s="196"/>
      <c r="P122" s="196"/>
      <c r="Q122" s="196"/>
      <c r="R122" s="196"/>
      <c r="S122" s="196"/>
      <c r="T122" s="196"/>
      <c r="U122" s="196"/>
      <c r="V122" s="196"/>
      <c r="W122" s="196"/>
      <c r="X122" s="196"/>
      <c r="Y122" s="196"/>
      <c r="Z122" s="196"/>
      <c r="AA122" s="196"/>
      <c r="AB122" s="196"/>
      <c r="AC122" s="196"/>
      <c r="AD122" s="196"/>
      <c r="AE122" s="196"/>
      <c r="AF122" s="196"/>
      <c r="AG122" s="196"/>
      <c r="AH122" s="196"/>
      <c r="AI122" s="196"/>
      <c r="AJ122" s="196"/>
      <c r="AK122" s="196"/>
      <c r="AL122" s="196"/>
      <c r="AM122" s="196"/>
      <c r="AN122" s="196"/>
      <c r="AO122" s="196"/>
      <c r="AP122" s="196"/>
      <c r="AQ122" s="196"/>
      <c r="AR122" s="196"/>
      <c r="AS122" s="196"/>
      <c r="AT122" s="197"/>
      <c r="AU122" s="222">
        <f>NGT_TO!AU197</f>
        <v>0</v>
      </c>
      <c r="AV122" s="223">
        <f>NGT_TO!AV197</f>
        <v>0</v>
      </c>
      <c r="AW122" s="223">
        <f>NGT_TO!AW197</f>
        <v>0</v>
      </c>
      <c r="AX122" s="223">
        <f>NGT_TO!AX197</f>
        <v>0</v>
      </c>
      <c r="AY122" s="224">
        <f>NGT_TO!AY197</f>
        <v>0</v>
      </c>
      <c r="AZ122"/>
      <c r="BA122" s="44" t="str">
        <f t="shared" ca="1" si="11"/>
        <v>VariantAllowances</v>
      </c>
      <c r="BB122" s="44" t="str">
        <f t="shared" si="9"/>
        <v>TO variant allowances</v>
      </c>
      <c r="BC122" s="44" t="str">
        <f t="shared" si="10"/>
        <v>Variant allowances percentage allocation</v>
      </c>
    </row>
    <row r="123" spans="5:55">
      <c r="E123" s="212" t="str">
        <f>NGT_TO!E198</f>
        <v>Cyber resilience Use it or lose it allowance</v>
      </c>
      <c r="G123" s="43" t="s">
        <v>33</v>
      </c>
      <c r="H123" s="43" t="str">
        <f>NGT_TO!H198</f>
        <v>Asset replacement capex</v>
      </c>
      <c r="AU123" s="175">
        <f>NGT_TO!AU198</f>
        <v>0</v>
      </c>
      <c r="AV123" s="56">
        <f>NGT_TO!AV198</f>
        <v>0</v>
      </c>
      <c r="AW123" s="56">
        <f>NGT_TO!AW198</f>
        <v>0</v>
      </c>
      <c r="AX123" s="56">
        <f>NGT_TO!AX198</f>
        <v>0</v>
      </c>
      <c r="AY123" s="186">
        <f>NGT_TO!AY198</f>
        <v>0</v>
      </c>
      <c r="AZ123"/>
      <c r="BA123" s="44" t="str">
        <f t="shared" ca="1" si="11"/>
        <v>VariantAllowances</v>
      </c>
      <c r="BB123" s="44" t="str">
        <f t="shared" si="9"/>
        <v>TO variant allowances</v>
      </c>
      <c r="BC123" s="44" t="str">
        <f t="shared" si="10"/>
        <v>Variant allowances percentage allocation</v>
      </c>
    </row>
    <row r="124" spans="5:55">
      <c r="E124" s="212" t="str">
        <f>NGT_TO!E199</f>
        <v>Cyber resilience Use it or lose it allowance</v>
      </c>
      <c r="G124" s="43" t="s">
        <v>33</v>
      </c>
      <c r="H124" s="43" t="str">
        <f>NGT_TO!H199</f>
        <v>Other capex</v>
      </c>
      <c r="AU124" s="175">
        <f>NGT_TO!AU199</f>
        <v>0.56771067882028503</v>
      </c>
      <c r="AV124" s="56">
        <f>NGT_TO!AV199</f>
        <v>0.56771067882028503</v>
      </c>
      <c r="AW124" s="56">
        <f>NGT_TO!AW199</f>
        <v>0.56771067882028503</v>
      </c>
      <c r="AX124" s="56">
        <f>NGT_TO!AX199</f>
        <v>0.56771067882028503</v>
      </c>
      <c r="AY124" s="186">
        <f>NGT_TO!AY199</f>
        <v>0.56771067882028503</v>
      </c>
      <c r="AZ124"/>
      <c r="BA124" s="44" t="str">
        <f t="shared" ca="1" si="11"/>
        <v>VariantAllowances</v>
      </c>
      <c r="BB124" s="44" t="str">
        <f t="shared" si="9"/>
        <v>TO variant allowances</v>
      </c>
      <c r="BC124" s="44" t="str">
        <f t="shared" si="10"/>
        <v>Variant allowances percentage allocation</v>
      </c>
    </row>
    <row r="125" spans="5:55">
      <c r="E125" s="212" t="str">
        <f>NGT_TO!E200</f>
        <v>Cyber resilience Use it or lose it allowance</v>
      </c>
      <c r="G125" s="43" t="s">
        <v>33</v>
      </c>
      <c r="H125" s="43" t="str">
        <f>NGT_TO!H200</f>
        <v>Non-operational capex</v>
      </c>
      <c r="AU125" s="175">
        <f>NGT_TO!AU200</f>
        <v>0</v>
      </c>
      <c r="AV125" s="56">
        <f>NGT_TO!AV200</f>
        <v>0</v>
      </c>
      <c r="AW125" s="56">
        <f>NGT_TO!AW200</f>
        <v>0</v>
      </c>
      <c r="AX125" s="56">
        <f>NGT_TO!AX200</f>
        <v>0</v>
      </c>
      <c r="AY125" s="186">
        <f>NGT_TO!AY200</f>
        <v>0</v>
      </c>
      <c r="AZ125"/>
      <c r="BA125" s="44" t="str">
        <f t="shared" ca="1" si="11"/>
        <v>VariantAllowances</v>
      </c>
      <c r="BB125" s="44" t="str">
        <f t="shared" si="9"/>
        <v>TO variant allowances</v>
      </c>
      <c r="BC125" s="44" t="str">
        <f t="shared" si="10"/>
        <v>Variant allowances percentage allocation</v>
      </c>
    </row>
    <row r="126" spans="5:55">
      <c r="E126" s="212" t="str">
        <f>NGT_TO!E201</f>
        <v>Cyber resilience Use it or lose it allowance</v>
      </c>
      <c r="G126" s="43" t="s">
        <v>33</v>
      </c>
      <c r="H126" s="43" t="str">
        <f>NGT_TO!H201</f>
        <v>Non-load (opex)</v>
      </c>
      <c r="AU126" s="175">
        <f>NGT_TO!AU201</f>
        <v>0</v>
      </c>
      <c r="AV126" s="56">
        <f>NGT_TO!AV201</f>
        <v>0</v>
      </c>
      <c r="AW126" s="56">
        <f>NGT_TO!AW201</f>
        <v>0</v>
      </c>
      <c r="AX126" s="56">
        <f>NGT_TO!AX201</f>
        <v>0</v>
      </c>
      <c r="AY126" s="186">
        <f>NGT_TO!AY201</f>
        <v>0</v>
      </c>
      <c r="AZ126"/>
      <c r="BA126" s="44" t="str">
        <f t="shared" ca="1" si="11"/>
        <v>VariantAllowances</v>
      </c>
      <c r="BB126" s="44" t="str">
        <f t="shared" si="9"/>
        <v>TO variant allowances</v>
      </c>
      <c r="BC126" s="44" t="str">
        <f t="shared" si="10"/>
        <v>Variant allowances percentage allocation</v>
      </c>
    </row>
    <row r="127" spans="5:55">
      <c r="E127" s="201" t="str">
        <f>NGT_TO!E202</f>
        <v>Cyber resilience Use it or lose it allowance</v>
      </c>
      <c r="F127" s="225"/>
      <c r="G127" s="202" t="s">
        <v>33</v>
      </c>
      <c r="H127" s="202" t="str">
        <f>NGT_TO!H202</f>
        <v>Indirects (opex)</v>
      </c>
      <c r="I127" s="202"/>
      <c r="J127" s="202"/>
      <c r="K127" s="202"/>
      <c r="L127" s="202"/>
      <c r="M127" s="202"/>
      <c r="N127" s="202"/>
      <c r="O127" s="202"/>
      <c r="P127" s="202"/>
      <c r="Q127" s="202"/>
      <c r="R127" s="202"/>
      <c r="S127" s="202"/>
      <c r="T127" s="202"/>
      <c r="U127" s="202"/>
      <c r="V127" s="202"/>
      <c r="W127" s="202"/>
      <c r="X127" s="202"/>
      <c r="Y127" s="202"/>
      <c r="Z127" s="202"/>
      <c r="AA127" s="202"/>
      <c r="AB127" s="202"/>
      <c r="AC127" s="202"/>
      <c r="AD127" s="202"/>
      <c r="AE127" s="202"/>
      <c r="AF127" s="202"/>
      <c r="AG127" s="202"/>
      <c r="AH127" s="202"/>
      <c r="AI127" s="202"/>
      <c r="AJ127" s="202"/>
      <c r="AK127" s="202"/>
      <c r="AL127" s="202"/>
      <c r="AM127" s="202"/>
      <c r="AN127" s="202"/>
      <c r="AO127" s="202"/>
      <c r="AP127" s="202"/>
      <c r="AQ127" s="202"/>
      <c r="AR127" s="202"/>
      <c r="AS127" s="202"/>
      <c r="AT127" s="203"/>
      <c r="AU127" s="226">
        <f>NGT_TO!AU202</f>
        <v>0.43228932117971497</v>
      </c>
      <c r="AV127" s="227">
        <f>NGT_TO!AV202</f>
        <v>0.43228932117971497</v>
      </c>
      <c r="AW127" s="227">
        <f>NGT_TO!AW202</f>
        <v>0.43228932117971497</v>
      </c>
      <c r="AX127" s="227">
        <f>NGT_TO!AX202</f>
        <v>0.43228932117971497</v>
      </c>
      <c r="AY127" s="228">
        <f>NGT_TO!AY202</f>
        <v>0.43228932117971497</v>
      </c>
      <c r="AZ127"/>
      <c r="BA127" s="44" t="str">
        <f t="shared" ca="1" si="11"/>
        <v>VariantAllowances</v>
      </c>
      <c r="BB127" s="44" t="str">
        <f t="shared" si="9"/>
        <v>TO variant allowances</v>
      </c>
      <c r="BC127" s="44" t="str">
        <f t="shared" si="10"/>
        <v>Variant allowances percentage allocation</v>
      </c>
    </row>
    <row r="128" spans="5:55">
      <c r="E128" s="195" t="str">
        <f>NGT_TO!E203</f>
        <v>Resilience Activity Re-opener</v>
      </c>
      <c r="F128" s="221"/>
      <c r="G128" s="196" t="s">
        <v>33</v>
      </c>
      <c r="H128" s="196" t="str">
        <f>NGT_TO!H203</f>
        <v>Load related capex</v>
      </c>
      <c r="I128" s="196"/>
      <c r="J128" s="196"/>
      <c r="K128" s="196"/>
      <c r="L128" s="196"/>
      <c r="M128" s="196"/>
      <c r="N128" s="196"/>
      <c r="O128" s="196"/>
      <c r="P128" s="196"/>
      <c r="Q128" s="196"/>
      <c r="R128" s="196"/>
      <c r="S128" s="196"/>
      <c r="T128" s="196"/>
      <c r="U128" s="196"/>
      <c r="V128" s="196"/>
      <c r="W128" s="196"/>
      <c r="X128" s="196"/>
      <c r="Y128" s="196"/>
      <c r="Z128" s="196"/>
      <c r="AA128" s="196"/>
      <c r="AB128" s="196"/>
      <c r="AC128" s="196"/>
      <c r="AD128" s="196"/>
      <c r="AE128" s="196"/>
      <c r="AF128" s="196"/>
      <c r="AG128" s="196"/>
      <c r="AH128" s="196"/>
      <c r="AI128" s="196"/>
      <c r="AJ128" s="196"/>
      <c r="AK128" s="196"/>
      <c r="AL128" s="196"/>
      <c r="AM128" s="196"/>
      <c r="AN128" s="196"/>
      <c r="AO128" s="196"/>
      <c r="AP128" s="196"/>
      <c r="AQ128" s="196"/>
      <c r="AR128" s="196"/>
      <c r="AS128" s="196"/>
      <c r="AT128" s="197"/>
      <c r="AU128" s="222">
        <f>NGT_TO!AU203</f>
        <v>0</v>
      </c>
      <c r="AV128" s="223">
        <f>NGT_TO!AV203</f>
        <v>0</v>
      </c>
      <c r="AW128" s="223">
        <f>NGT_TO!AW203</f>
        <v>0</v>
      </c>
      <c r="AX128" s="223">
        <f>NGT_TO!AX203</f>
        <v>0</v>
      </c>
      <c r="AY128" s="224">
        <f>NGT_TO!AY203</f>
        <v>0</v>
      </c>
      <c r="AZ128"/>
      <c r="BA128" s="44" t="str">
        <f t="shared" ca="1" si="11"/>
        <v>VariantAllowances</v>
      </c>
      <c r="BB128" s="44" t="str">
        <f t="shared" si="9"/>
        <v>TO variant allowances</v>
      </c>
      <c r="BC128" s="44" t="str">
        <f t="shared" si="10"/>
        <v>Variant allowances percentage allocation</v>
      </c>
    </row>
    <row r="129" spans="5:55">
      <c r="E129" s="212" t="str">
        <f>NGT_TO!E204</f>
        <v>Resilience Activity Re-opener</v>
      </c>
      <c r="G129" s="43" t="s">
        <v>33</v>
      </c>
      <c r="H129" s="43" t="str">
        <f>NGT_TO!H204</f>
        <v>Asset replacement capex</v>
      </c>
      <c r="AU129" s="175">
        <f>NGT_TO!AU204</f>
        <v>1</v>
      </c>
      <c r="AV129" s="56">
        <f>NGT_TO!AV204</f>
        <v>1</v>
      </c>
      <c r="AW129" s="56">
        <f>NGT_TO!AW204</f>
        <v>1</v>
      </c>
      <c r="AX129" s="56">
        <f>NGT_TO!AX204</f>
        <v>1</v>
      </c>
      <c r="AY129" s="186">
        <f>NGT_TO!AY204</f>
        <v>1</v>
      </c>
      <c r="AZ129"/>
      <c r="BA129" s="44" t="str">
        <f t="shared" ca="1" si="11"/>
        <v>VariantAllowances</v>
      </c>
      <c r="BB129" s="44" t="str">
        <f t="shared" si="9"/>
        <v>TO variant allowances</v>
      </c>
      <c r="BC129" s="44" t="str">
        <f t="shared" si="10"/>
        <v>Variant allowances percentage allocation</v>
      </c>
    </row>
    <row r="130" spans="5:55">
      <c r="E130" s="212" t="str">
        <f>NGT_TO!E205</f>
        <v>Resilience Activity Re-opener</v>
      </c>
      <c r="G130" s="43" t="s">
        <v>33</v>
      </c>
      <c r="H130" s="43" t="str">
        <f>NGT_TO!H205</f>
        <v>Other capex</v>
      </c>
      <c r="AU130" s="175">
        <f>NGT_TO!AU205</f>
        <v>0</v>
      </c>
      <c r="AV130" s="56">
        <f>NGT_TO!AV205</f>
        <v>0</v>
      </c>
      <c r="AW130" s="56">
        <f>NGT_TO!AW205</f>
        <v>0</v>
      </c>
      <c r="AX130" s="56">
        <f>NGT_TO!AX205</f>
        <v>0</v>
      </c>
      <c r="AY130" s="186">
        <f>NGT_TO!AY205</f>
        <v>0</v>
      </c>
      <c r="AZ130"/>
      <c r="BA130" s="44" t="str">
        <f t="shared" ca="1" si="11"/>
        <v>VariantAllowances</v>
      </c>
      <c r="BB130" s="44" t="str">
        <f t="shared" si="9"/>
        <v>TO variant allowances</v>
      </c>
      <c r="BC130" s="44" t="str">
        <f t="shared" si="10"/>
        <v>Variant allowances percentage allocation</v>
      </c>
    </row>
    <row r="131" spans="5:55">
      <c r="E131" s="212" t="str">
        <f>NGT_TO!E206</f>
        <v>Resilience Activity Re-opener</v>
      </c>
      <c r="G131" s="43" t="s">
        <v>33</v>
      </c>
      <c r="H131" s="43" t="str">
        <f>NGT_TO!H206</f>
        <v>Non-operational capex</v>
      </c>
      <c r="AU131" s="175">
        <f>NGT_TO!AU206</f>
        <v>0</v>
      </c>
      <c r="AV131" s="56">
        <f>NGT_TO!AV206</f>
        <v>0</v>
      </c>
      <c r="AW131" s="56">
        <f>NGT_TO!AW206</f>
        <v>0</v>
      </c>
      <c r="AX131" s="56">
        <f>NGT_TO!AX206</f>
        <v>0</v>
      </c>
      <c r="AY131" s="186">
        <f>NGT_TO!AY206</f>
        <v>0</v>
      </c>
      <c r="AZ131"/>
      <c r="BA131" s="44" t="str">
        <f t="shared" ca="1" si="11"/>
        <v>VariantAllowances</v>
      </c>
      <c r="BB131" s="44" t="str">
        <f t="shared" si="9"/>
        <v>TO variant allowances</v>
      </c>
      <c r="BC131" s="44" t="str">
        <f t="shared" si="10"/>
        <v>Variant allowances percentage allocation</v>
      </c>
    </row>
    <row r="132" spans="5:55">
      <c r="E132" s="212" t="str">
        <f>NGT_TO!E207</f>
        <v>Resilience Activity Re-opener</v>
      </c>
      <c r="G132" s="43" t="s">
        <v>33</v>
      </c>
      <c r="H132" s="43" t="str">
        <f>NGT_TO!H207</f>
        <v>Non-load (opex)</v>
      </c>
      <c r="AU132" s="175">
        <f>NGT_TO!AU207</f>
        <v>0</v>
      </c>
      <c r="AV132" s="56">
        <f>NGT_TO!AV207</f>
        <v>0</v>
      </c>
      <c r="AW132" s="56">
        <f>NGT_TO!AW207</f>
        <v>0</v>
      </c>
      <c r="AX132" s="56">
        <f>NGT_TO!AX207</f>
        <v>0</v>
      </c>
      <c r="AY132" s="186">
        <f>NGT_TO!AY207</f>
        <v>0</v>
      </c>
      <c r="AZ132"/>
      <c r="BA132" s="44" t="str">
        <f t="shared" ca="1" si="11"/>
        <v>VariantAllowances</v>
      </c>
      <c r="BB132" s="44" t="str">
        <f t="shared" si="9"/>
        <v>TO variant allowances</v>
      </c>
      <c r="BC132" s="44" t="str">
        <f t="shared" si="10"/>
        <v>Variant allowances percentage allocation</v>
      </c>
    </row>
    <row r="133" spans="5:55">
      <c r="E133" s="201" t="str">
        <f>NGT_TO!E208</f>
        <v>Resilience Activity Re-opener</v>
      </c>
      <c r="F133" s="225"/>
      <c r="G133" s="202" t="s">
        <v>33</v>
      </c>
      <c r="H133" s="202" t="str">
        <f>NGT_TO!H208</f>
        <v>Indirects (opex)</v>
      </c>
      <c r="I133" s="202"/>
      <c r="J133" s="202"/>
      <c r="K133" s="202"/>
      <c r="L133" s="202"/>
      <c r="M133" s="202"/>
      <c r="N133" s="202"/>
      <c r="O133" s="202"/>
      <c r="P133" s="202"/>
      <c r="Q133" s="202"/>
      <c r="R133" s="202"/>
      <c r="S133" s="202"/>
      <c r="T133" s="202"/>
      <c r="U133" s="202"/>
      <c r="V133" s="202"/>
      <c r="W133" s="202"/>
      <c r="X133" s="202"/>
      <c r="Y133" s="202"/>
      <c r="Z133" s="202"/>
      <c r="AA133" s="202"/>
      <c r="AB133" s="202"/>
      <c r="AC133" s="202"/>
      <c r="AD133" s="202"/>
      <c r="AE133" s="202"/>
      <c r="AF133" s="202"/>
      <c r="AG133" s="202"/>
      <c r="AH133" s="202"/>
      <c r="AI133" s="202"/>
      <c r="AJ133" s="202"/>
      <c r="AK133" s="202"/>
      <c r="AL133" s="202"/>
      <c r="AM133" s="202"/>
      <c r="AN133" s="202"/>
      <c r="AO133" s="202"/>
      <c r="AP133" s="202"/>
      <c r="AQ133" s="202"/>
      <c r="AR133" s="202"/>
      <c r="AS133" s="202"/>
      <c r="AT133" s="203"/>
      <c r="AU133" s="226">
        <f>NGT_TO!AU208</f>
        <v>0</v>
      </c>
      <c r="AV133" s="227">
        <f>NGT_TO!AV208</f>
        <v>0</v>
      </c>
      <c r="AW133" s="227">
        <f>NGT_TO!AW208</f>
        <v>0</v>
      </c>
      <c r="AX133" s="227">
        <f>NGT_TO!AX208</f>
        <v>0</v>
      </c>
      <c r="AY133" s="228">
        <f>NGT_TO!AY208</f>
        <v>0</v>
      </c>
      <c r="AZ133"/>
      <c r="BA133" s="44" t="str">
        <f t="shared" ca="1" si="11"/>
        <v>VariantAllowances</v>
      </c>
      <c r="BB133" s="44" t="str">
        <f t="shared" si="9"/>
        <v>TO variant allowances</v>
      </c>
      <c r="BC133" s="44" t="str">
        <f t="shared" si="10"/>
        <v>Variant allowances percentage allocation</v>
      </c>
    </row>
    <row r="134" spans="5:55">
      <c r="E134" s="195" t="str">
        <f>NGT_TO!E209</f>
        <v>Physical Security Price Control Deliverable</v>
      </c>
      <c r="F134" s="221"/>
      <c r="G134" s="196" t="s">
        <v>33</v>
      </c>
      <c r="H134" s="196" t="str">
        <f>NGT_TO!H209</f>
        <v>Load related capex</v>
      </c>
      <c r="I134" s="196"/>
      <c r="J134" s="196"/>
      <c r="K134" s="196"/>
      <c r="L134" s="196"/>
      <c r="M134" s="196"/>
      <c r="N134" s="196"/>
      <c r="O134" s="196"/>
      <c r="P134" s="196"/>
      <c r="Q134" s="196"/>
      <c r="R134" s="196"/>
      <c r="S134" s="196"/>
      <c r="T134" s="196"/>
      <c r="U134" s="196"/>
      <c r="V134" s="196"/>
      <c r="W134" s="196"/>
      <c r="X134" s="196"/>
      <c r="Y134" s="196"/>
      <c r="Z134" s="196"/>
      <c r="AA134" s="196"/>
      <c r="AB134" s="196"/>
      <c r="AC134" s="196"/>
      <c r="AD134" s="196"/>
      <c r="AE134" s="196"/>
      <c r="AF134" s="196"/>
      <c r="AG134" s="196"/>
      <c r="AH134" s="196"/>
      <c r="AI134" s="196"/>
      <c r="AJ134" s="196"/>
      <c r="AK134" s="196"/>
      <c r="AL134" s="196"/>
      <c r="AM134" s="196"/>
      <c r="AN134" s="196"/>
      <c r="AO134" s="196"/>
      <c r="AP134" s="196"/>
      <c r="AQ134" s="196"/>
      <c r="AR134" s="196"/>
      <c r="AS134" s="196"/>
      <c r="AT134" s="197"/>
      <c r="AU134" s="222">
        <f>NGT_TO!AU209</f>
        <v>0</v>
      </c>
      <c r="AV134" s="223">
        <f>NGT_TO!AV209</f>
        <v>0</v>
      </c>
      <c r="AW134" s="223">
        <f>NGT_TO!AW209</f>
        <v>0</v>
      </c>
      <c r="AX134" s="223">
        <f>NGT_TO!AX209</f>
        <v>0</v>
      </c>
      <c r="AY134" s="224">
        <f>NGT_TO!AY209</f>
        <v>0</v>
      </c>
      <c r="AZ134"/>
      <c r="BA134" s="44" t="str">
        <f t="shared" ca="1" si="11"/>
        <v>VariantAllowances</v>
      </c>
      <c r="BB134" s="44" t="str">
        <f t="shared" si="9"/>
        <v>TO variant allowances</v>
      </c>
      <c r="BC134" s="44" t="str">
        <f t="shared" si="10"/>
        <v>Variant allowances percentage allocation</v>
      </c>
    </row>
    <row r="135" spans="5:55">
      <c r="E135" s="212" t="str">
        <f>NGT_TO!E210</f>
        <v>Physical Security Price Control Deliverable</v>
      </c>
      <c r="G135" s="43" t="s">
        <v>33</v>
      </c>
      <c r="H135" s="43" t="str">
        <f>NGT_TO!H210</f>
        <v>Asset replacement capex</v>
      </c>
      <c r="AU135" s="175">
        <f>NGT_TO!AU210</f>
        <v>0</v>
      </c>
      <c r="AV135" s="56">
        <f>NGT_TO!AV210</f>
        <v>0</v>
      </c>
      <c r="AW135" s="56">
        <f>NGT_TO!AW210</f>
        <v>0</v>
      </c>
      <c r="AX135" s="56">
        <f>NGT_TO!AX210</f>
        <v>0</v>
      </c>
      <c r="AY135" s="186">
        <f>NGT_TO!AY210</f>
        <v>0</v>
      </c>
      <c r="AZ135"/>
      <c r="BA135" s="44" t="str">
        <f t="shared" ca="1" si="11"/>
        <v>VariantAllowances</v>
      </c>
      <c r="BB135" s="44" t="str">
        <f t="shared" si="9"/>
        <v>TO variant allowances</v>
      </c>
      <c r="BC135" s="44" t="str">
        <f t="shared" si="10"/>
        <v>Variant allowances percentage allocation</v>
      </c>
    </row>
    <row r="136" spans="5:55">
      <c r="E136" s="212" t="str">
        <f>NGT_TO!E211</f>
        <v>Physical Security Price Control Deliverable</v>
      </c>
      <c r="G136" s="43" t="s">
        <v>33</v>
      </c>
      <c r="H136" s="43" t="str">
        <f>NGT_TO!H211</f>
        <v>Other capex</v>
      </c>
      <c r="AU136" s="175">
        <f>NGT_TO!AU211</f>
        <v>1</v>
      </c>
      <c r="AV136" s="56">
        <f>NGT_TO!AV211</f>
        <v>1</v>
      </c>
      <c r="AW136" s="56">
        <f>NGT_TO!AW211</f>
        <v>1</v>
      </c>
      <c r="AX136" s="56">
        <f>NGT_TO!AX211</f>
        <v>1</v>
      </c>
      <c r="AY136" s="186">
        <f>NGT_TO!AY211</f>
        <v>1</v>
      </c>
      <c r="AZ136"/>
      <c r="BA136" s="44" t="str">
        <f t="shared" ca="1" si="11"/>
        <v>VariantAllowances</v>
      </c>
      <c r="BB136" s="44" t="str">
        <f t="shared" si="9"/>
        <v>TO variant allowances</v>
      </c>
      <c r="BC136" s="44" t="str">
        <f t="shared" si="10"/>
        <v>Variant allowances percentage allocation</v>
      </c>
    </row>
    <row r="137" spans="5:55">
      <c r="E137" s="212" t="str">
        <f>NGT_TO!E212</f>
        <v>Physical Security Price Control Deliverable</v>
      </c>
      <c r="G137" s="43" t="s">
        <v>33</v>
      </c>
      <c r="H137" s="43" t="str">
        <f>NGT_TO!H212</f>
        <v>Non-operational capex</v>
      </c>
      <c r="AU137" s="175">
        <f>NGT_TO!AU212</f>
        <v>0</v>
      </c>
      <c r="AV137" s="56">
        <f>NGT_TO!AV212</f>
        <v>0</v>
      </c>
      <c r="AW137" s="56">
        <f>NGT_TO!AW212</f>
        <v>0</v>
      </c>
      <c r="AX137" s="56">
        <f>NGT_TO!AX212</f>
        <v>0</v>
      </c>
      <c r="AY137" s="186">
        <f>NGT_TO!AY212</f>
        <v>0</v>
      </c>
      <c r="AZ137"/>
      <c r="BA137" s="44" t="str">
        <f t="shared" ca="1" si="11"/>
        <v>VariantAllowances</v>
      </c>
      <c r="BB137" s="44" t="str">
        <f t="shared" si="9"/>
        <v>TO variant allowances</v>
      </c>
      <c r="BC137" s="44" t="str">
        <f t="shared" si="10"/>
        <v>Variant allowances percentage allocation</v>
      </c>
    </row>
    <row r="138" spans="5:55">
      <c r="E138" s="212" t="str">
        <f>NGT_TO!E213</f>
        <v>Physical Security Price Control Deliverable</v>
      </c>
      <c r="G138" s="43" t="s">
        <v>33</v>
      </c>
      <c r="H138" s="43" t="str">
        <f>NGT_TO!H213</f>
        <v>Non-load (opex)</v>
      </c>
      <c r="AU138" s="175">
        <f>NGT_TO!AU213</f>
        <v>0</v>
      </c>
      <c r="AV138" s="56">
        <f>NGT_TO!AV213</f>
        <v>0</v>
      </c>
      <c r="AW138" s="56">
        <f>NGT_TO!AW213</f>
        <v>0</v>
      </c>
      <c r="AX138" s="56">
        <f>NGT_TO!AX213</f>
        <v>0</v>
      </c>
      <c r="AY138" s="186">
        <f>NGT_TO!AY213</f>
        <v>0</v>
      </c>
      <c r="AZ138"/>
      <c r="BA138" s="44" t="str">
        <f t="shared" ca="1" si="11"/>
        <v>VariantAllowances</v>
      </c>
      <c r="BB138" s="44" t="str">
        <f t="shared" si="9"/>
        <v>TO variant allowances</v>
      </c>
      <c r="BC138" s="44" t="str">
        <f t="shared" si="10"/>
        <v>Variant allowances percentage allocation</v>
      </c>
    </row>
    <row r="139" spans="5:55">
      <c r="E139" s="201" t="str">
        <f>NGT_TO!E214</f>
        <v>Physical Security Price Control Deliverable</v>
      </c>
      <c r="F139" s="225"/>
      <c r="G139" s="202" t="s">
        <v>33</v>
      </c>
      <c r="H139" s="202" t="str">
        <f>NGT_TO!H214</f>
        <v>Indirects (opex)</v>
      </c>
      <c r="I139" s="202"/>
      <c r="J139" s="202"/>
      <c r="K139" s="202"/>
      <c r="L139" s="202"/>
      <c r="M139" s="202"/>
      <c r="N139" s="202"/>
      <c r="O139" s="202"/>
      <c r="P139" s="202"/>
      <c r="Q139" s="202"/>
      <c r="R139" s="202"/>
      <c r="S139" s="202"/>
      <c r="T139" s="202"/>
      <c r="U139" s="202"/>
      <c r="V139" s="202"/>
      <c r="W139" s="202"/>
      <c r="X139" s="202"/>
      <c r="Y139" s="202"/>
      <c r="Z139" s="202"/>
      <c r="AA139" s="202"/>
      <c r="AB139" s="202"/>
      <c r="AC139" s="202"/>
      <c r="AD139" s="202"/>
      <c r="AE139" s="202"/>
      <c r="AF139" s="202"/>
      <c r="AG139" s="202"/>
      <c r="AH139" s="202"/>
      <c r="AI139" s="202"/>
      <c r="AJ139" s="202"/>
      <c r="AK139" s="202"/>
      <c r="AL139" s="202"/>
      <c r="AM139" s="202"/>
      <c r="AN139" s="202"/>
      <c r="AO139" s="202"/>
      <c r="AP139" s="202"/>
      <c r="AQ139" s="202"/>
      <c r="AR139" s="202"/>
      <c r="AS139" s="202"/>
      <c r="AT139" s="203"/>
      <c r="AU139" s="226">
        <f>NGT_TO!AU214</f>
        <v>0</v>
      </c>
      <c r="AV139" s="227">
        <f>NGT_TO!AV214</f>
        <v>0</v>
      </c>
      <c r="AW139" s="227">
        <f>NGT_TO!AW214</f>
        <v>0</v>
      </c>
      <c r="AX139" s="227">
        <f>NGT_TO!AX214</f>
        <v>0</v>
      </c>
      <c r="AY139" s="228">
        <f>NGT_TO!AY214</f>
        <v>0</v>
      </c>
      <c r="AZ139"/>
      <c r="BA139" s="44" t="str">
        <f t="shared" ca="1" si="11"/>
        <v>VariantAllowances</v>
      </c>
      <c r="BB139" s="44" t="str">
        <f t="shared" si="9"/>
        <v>TO variant allowances</v>
      </c>
      <c r="BC139" s="44" t="str">
        <f t="shared" si="10"/>
        <v>Variant allowances percentage allocation</v>
      </c>
    </row>
    <row r="140" spans="5:55">
      <c r="E140" s="195" t="str">
        <f>NGT_TO!E215</f>
        <v>Physical Security Price Control Deliverable - Re-Opener Element</v>
      </c>
      <c r="F140" s="221"/>
      <c r="G140" s="196" t="s">
        <v>33</v>
      </c>
      <c r="H140" s="196" t="str">
        <f>NGT_TO!H215</f>
        <v>Load related capex</v>
      </c>
      <c r="I140" s="196"/>
      <c r="J140" s="196"/>
      <c r="K140" s="196"/>
      <c r="L140" s="196"/>
      <c r="M140" s="196"/>
      <c r="N140" s="196"/>
      <c r="O140" s="196"/>
      <c r="P140" s="196"/>
      <c r="Q140" s="196"/>
      <c r="R140" s="196"/>
      <c r="S140" s="196"/>
      <c r="T140" s="196"/>
      <c r="U140" s="196"/>
      <c r="V140" s="196"/>
      <c r="W140" s="196"/>
      <c r="X140" s="196"/>
      <c r="Y140" s="196"/>
      <c r="Z140" s="196"/>
      <c r="AA140" s="196"/>
      <c r="AB140" s="196"/>
      <c r="AC140" s="196"/>
      <c r="AD140" s="196"/>
      <c r="AE140" s="196"/>
      <c r="AF140" s="196"/>
      <c r="AG140" s="196"/>
      <c r="AH140" s="196"/>
      <c r="AI140" s="196"/>
      <c r="AJ140" s="196"/>
      <c r="AK140" s="196"/>
      <c r="AL140" s="196"/>
      <c r="AM140" s="196"/>
      <c r="AN140" s="196"/>
      <c r="AO140" s="196"/>
      <c r="AP140" s="196"/>
      <c r="AQ140" s="196"/>
      <c r="AR140" s="196"/>
      <c r="AS140" s="196"/>
      <c r="AT140" s="197"/>
      <c r="AU140" s="222">
        <f>NGT_TO!AU215</f>
        <v>0</v>
      </c>
      <c r="AV140" s="223">
        <f>NGT_TO!AV215</f>
        <v>0</v>
      </c>
      <c r="AW140" s="223">
        <f>NGT_TO!AW215</f>
        <v>0</v>
      </c>
      <c r="AX140" s="223">
        <f>NGT_TO!AX215</f>
        <v>0</v>
      </c>
      <c r="AY140" s="224">
        <f>NGT_TO!AY215</f>
        <v>0</v>
      </c>
      <c r="AZ140"/>
      <c r="BA140" s="44" t="str">
        <f t="shared" ca="1" si="11"/>
        <v>VariantAllowances</v>
      </c>
      <c r="BB140" s="44" t="str">
        <f t="shared" si="9"/>
        <v>TO variant allowances</v>
      </c>
      <c r="BC140" s="44" t="str">
        <f t="shared" si="10"/>
        <v>Variant allowances percentage allocation</v>
      </c>
    </row>
    <row r="141" spans="5:55">
      <c r="E141" s="212" t="str">
        <f>NGT_TO!E216</f>
        <v>Physical Security Price Control Deliverable - Re-Opener Element</v>
      </c>
      <c r="G141" s="43" t="s">
        <v>33</v>
      </c>
      <c r="H141" s="43" t="str">
        <f>NGT_TO!H216</f>
        <v>Asset replacement capex</v>
      </c>
      <c r="AU141" s="175">
        <f>NGT_TO!AU216</f>
        <v>0</v>
      </c>
      <c r="AV141" s="56">
        <f>NGT_TO!AV216</f>
        <v>0</v>
      </c>
      <c r="AW141" s="56">
        <f>NGT_TO!AW216</f>
        <v>0</v>
      </c>
      <c r="AX141" s="56">
        <f>NGT_TO!AX216</f>
        <v>0</v>
      </c>
      <c r="AY141" s="186">
        <f>NGT_TO!AY216</f>
        <v>0</v>
      </c>
      <c r="AZ141"/>
      <c r="BA141" s="44" t="str">
        <f t="shared" ca="1" si="11"/>
        <v>VariantAllowances</v>
      </c>
      <c r="BB141" s="44" t="str">
        <f t="shared" si="9"/>
        <v>TO variant allowances</v>
      </c>
      <c r="BC141" s="44" t="str">
        <f t="shared" si="10"/>
        <v>Variant allowances percentage allocation</v>
      </c>
    </row>
    <row r="142" spans="5:55">
      <c r="E142" s="212" t="str">
        <f>NGT_TO!E217</f>
        <v>Physical Security Price Control Deliverable - Re-Opener Element</v>
      </c>
      <c r="G142" s="43" t="s">
        <v>33</v>
      </c>
      <c r="H142" s="43" t="str">
        <f>NGT_TO!H217</f>
        <v>Other capex</v>
      </c>
      <c r="AU142" s="175">
        <f>NGT_TO!AU217</f>
        <v>0</v>
      </c>
      <c r="AV142" s="56">
        <f>NGT_TO!AV217</f>
        <v>0</v>
      </c>
      <c r="AW142" s="56">
        <f>NGT_TO!AW217</f>
        <v>0</v>
      </c>
      <c r="AX142" s="56">
        <f>NGT_TO!AX217</f>
        <v>0</v>
      </c>
      <c r="AY142" s="186">
        <f>NGT_TO!AY217</f>
        <v>0</v>
      </c>
      <c r="AZ142"/>
      <c r="BA142" s="44" t="str">
        <f t="shared" ca="1" si="11"/>
        <v>VariantAllowances</v>
      </c>
      <c r="BB142" s="44" t="str">
        <f t="shared" si="9"/>
        <v>TO variant allowances</v>
      </c>
      <c r="BC142" s="44" t="str">
        <f t="shared" si="10"/>
        <v>Variant allowances percentage allocation</v>
      </c>
    </row>
    <row r="143" spans="5:55">
      <c r="E143" s="212" t="str">
        <f>NGT_TO!E218</f>
        <v>Physical Security Price Control Deliverable - Re-Opener Element</v>
      </c>
      <c r="G143" s="43" t="s">
        <v>33</v>
      </c>
      <c r="H143" s="43" t="str">
        <f>NGT_TO!H218</f>
        <v>Non-operational capex</v>
      </c>
      <c r="AU143" s="175">
        <f>NGT_TO!AU218</f>
        <v>0</v>
      </c>
      <c r="AV143" s="56">
        <f>NGT_TO!AV218</f>
        <v>0</v>
      </c>
      <c r="AW143" s="56">
        <f>NGT_TO!AW218</f>
        <v>0</v>
      </c>
      <c r="AX143" s="56">
        <f>NGT_TO!AX218</f>
        <v>0</v>
      </c>
      <c r="AY143" s="186">
        <f>NGT_TO!AY218</f>
        <v>0</v>
      </c>
      <c r="AZ143"/>
      <c r="BA143" s="44" t="str">
        <f t="shared" ca="1" si="11"/>
        <v>VariantAllowances</v>
      </c>
      <c r="BB143" s="44" t="str">
        <f t="shared" si="9"/>
        <v>TO variant allowances</v>
      </c>
      <c r="BC143" s="44" t="str">
        <f t="shared" si="10"/>
        <v>Variant allowances percentage allocation</v>
      </c>
    </row>
    <row r="144" spans="5:55">
      <c r="E144" s="212" t="str">
        <f>NGT_TO!E219</f>
        <v>Physical Security Price Control Deliverable - Re-Opener Element</v>
      </c>
      <c r="G144" s="43" t="s">
        <v>33</v>
      </c>
      <c r="H144" s="43" t="str">
        <f>NGT_TO!H219</f>
        <v>Non-load (opex)</v>
      </c>
      <c r="AU144" s="175">
        <f>NGT_TO!AU219</f>
        <v>0</v>
      </c>
      <c r="AV144" s="56">
        <f>NGT_TO!AV219</f>
        <v>0</v>
      </c>
      <c r="AW144" s="56">
        <f>NGT_TO!AW219</f>
        <v>0</v>
      </c>
      <c r="AX144" s="56">
        <f>NGT_TO!AX219</f>
        <v>0</v>
      </c>
      <c r="AY144" s="186">
        <f>NGT_TO!AY219</f>
        <v>0</v>
      </c>
      <c r="AZ144"/>
      <c r="BA144" s="44" t="str">
        <f t="shared" ca="1" si="11"/>
        <v>VariantAllowances</v>
      </c>
      <c r="BB144" s="44" t="str">
        <f t="shared" si="9"/>
        <v>TO variant allowances</v>
      </c>
      <c r="BC144" s="44" t="str">
        <f t="shared" si="10"/>
        <v>Variant allowances percentage allocation</v>
      </c>
    </row>
    <row r="145" spans="5:55">
      <c r="E145" s="201" t="str">
        <f>NGT_TO!E220</f>
        <v>Physical Security Price Control Deliverable - Re-Opener Element</v>
      </c>
      <c r="F145" s="225"/>
      <c r="G145" s="202" t="s">
        <v>33</v>
      </c>
      <c r="H145" s="202" t="str">
        <f>NGT_TO!H220</f>
        <v>Indirects (opex)</v>
      </c>
      <c r="I145" s="202"/>
      <c r="J145" s="202"/>
      <c r="K145" s="202"/>
      <c r="L145" s="202"/>
      <c r="M145" s="202"/>
      <c r="N145" s="202"/>
      <c r="O145" s="202"/>
      <c r="P145" s="202"/>
      <c r="Q145" s="202"/>
      <c r="R145" s="202"/>
      <c r="S145" s="202"/>
      <c r="T145" s="202"/>
      <c r="U145" s="202"/>
      <c r="V145" s="202"/>
      <c r="W145" s="202"/>
      <c r="X145" s="202"/>
      <c r="Y145" s="202"/>
      <c r="Z145" s="202"/>
      <c r="AA145" s="202"/>
      <c r="AB145" s="202"/>
      <c r="AC145" s="202"/>
      <c r="AD145" s="202"/>
      <c r="AE145" s="202"/>
      <c r="AF145" s="202"/>
      <c r="AG145" s="202"/>
      <c r="AH145" s="202"/>
      <c r="AI145" s="202"/>
      <c r="AJ145" s="202"/>
      <c r="AK145" s="202"/>
      <c r="AL145" s="202"/>
      <c r="AM145" s="202"/>
      <c r="AN145" s="202"/>
      <c r="AO145" s="202"/>
      <c r="AP145" s="202"/>
      <c r="AQ145" s="202"/>
      <c r="AR145" s="202"/>
      <c r="AS145" s="202"/>
      <c r="AT145" s="203"/>
      <c r="AU145" s="226">
        <f>NGT_TO!AU220</f>
        <v>0</v>
      </c>
      <c r="AV145" s="227">
        <f>NGT_TO!AV220</f>
        <v>0</v>
      </c>
      <c r="AW145" s="227">
        <f>NGT_TO!AW220</f>
        <v>0</v>
      </c>
      <c r="AX145" s="227">
        <f>NGT_TO!AX220</f>
        <v>0</v>
      </c>
      <c r="AY145" s="228">
        <f>NGT_TO!AY220</f>
        <v>0</v>
      </c>
      <c r="AZ145"/>
      <c r="BA145" s="44" t="str">
        <f t="shared" ca="1" si="11"/>
        <v>VariantAllowances</v>
      </c>
      <c r="BB145" s="44" t="str">
        <f t="shared" si="9"/>
        <v>TO variant allowances</v>
      </c>
      <c r="BC145" s="44" t="str">
        <f t="shared" si="10"/>
        <v>Variant allowances percentage allocation</v>
      </c>
    </row>
    <row r="146" spans="5:55">
      <c r="E146" s="195" t="str">
        <f>NGT_TO!E221</f>
        <v>Small Decarbonisation Projects Re-opener</v>
      </c>
      <c r="F146" s="221"/>
      <c r="G146" s="196" t="s">
        <v>33</v>
      </c>
      <c r="H146" s="196" t="str">
        <f>NGT_TO!H221</f>
        <v>Load related capex</v>
      </c>
      <c r="I146" s="196"/>
      <c r="J146" s="196"/>
      <c r="K146" s="196"/>
      <c r="L146" s="196"/>
      <c r="M146" s="196"/>
      <c r="N146" s="196"/>
      <c r="O146" s="196"/>
      <c r="P146" s="196"/>
      <c r="Q146" s="196"/>
      <c r="R146" s="196"/>
      <c r="S146" s="196"/>
      <c r="T146" s="196"/>
      <c r="U146" s="196"/>
      <c r="V146" s="196"/>
      <c r="W146" s="196"/>
      <c r="X146" s="196"/>
      <c r="Y146" s="196"/>
      <c r="Z146" s="196"/>
      <c r="AA146" s="196"/>
      <c r="AB146" s="196"/>
      <c r="AC146" s="196"/>
      <c r="AD146" s="196"/>
      <c r="AE146" s="196"/>
      <c r="AF146" s="196"/>
      <c r="AG146" s="196"/>
      <c r="AH146" s="196"/>
      <c r="AI146" s="196"/>
      <c r="AJ146" s="196"/>
      <c r="AK146" s="196"/>
      <c r="AL146" s="196"/>
      <c r="AM146" s="196"/>
      <c r="AN146" s="196"/>
      <c r="AO146" s="196"/>
      <c r="AP146" s="196"/>
      <c r="AQ146" s="196"/>
      <c r="AR146" s="196"/>
      <c r="AS146" s="196"/>
      <c r="AT146" s="197"/>
      <c r="AU146" s="222">
        <f>NGT_TO!AU221</f>
        <v>0</v>
      </c>
      <c r="AV146" s="223">
        <f>NGT_TO!AV221</f>
        <v>0</v>
      </c>
      <c r="AW146" s="223">
        <f>NGT_TO!AW221</f>
        <v>0</v>
      </c>
      <c r="AX146" s="223">
        <f>NGT_TO!AX221</f>
        <v>0</v>
      </c>
      <c r="AY146" s="224">
        <f>NGT_TO!AY221</f>
        <v>0</v>
      </c>
      <c r="AZ146"/>
      <c r="BA146" s="44" t="str">
        <f t="shared" ca="1" si="11"/>
        <v>VariantAllowances</v>
      </c>
      <c r="BB146" s="44" t="str">
        <f t="shared" si="9"/>
        <v>TO variant allowances</v>
      </c>
      <c r="BC146" s="44" t="str">
        <f t="shared" si="10"/>
        <v>Variant allowances percentage allocation</v>
      </c>
    </row>
    <row r="147" spans="5:55">
      <c r="E147" s="212" t="str">
        <f>NGT_TO!E222</f>
        <v>Small Decarbonisation Projects Re-opener</v>
      </c>
      <c r="G147" s="43" t="s">
        <v>33</v>
      </c>
      <c r="H147" s="43" t="str">
        <f>NGT_TO!H222</f>
        <v>Asset replacement capex</v>
      </c>
      <c r="AU147" s="175">
        <f>NGT_TO!AU222</f>
        <v>0</v>
      </c>
      <c r="AV147" s="56">
        <f>NGT_TO!AV222</f>
        <v>0</v>
      </c>
      <c r="AW147" s="56">
        <f>NGT_TO!AW222</f>
        <v>0</v>
      </c>
      <c r="AX147" s="56">
        <f>NGT_TO!AX222</f>
        <v>0</v>
      </c>
      <c r="AY147" s="186">
        <f>NGT_TO!AY222</f>
        <v>0</v>
      </c>
      <c r="AZ147"/>
      <c r="BA147" s="44" t="str">
        <f t="shared" ca="1" si="11"/>
        <v>VariantAllowances</v>
      </c>
      <c r="BB147" s="44" t="str">
        <f t="shared" si="9"/>
        <v>TO variant allowances</v>
      </c>
      <c r="BC147" s="44" t="str">
        <f t="shared" si="10"/>
        <v>Variant allowances percentage allocation</v>
      </c>
    </row>
    <row r="148" spans="5:55">
      <c r="E148" s="212" t="str">
        <f>NGT_TO!E223</f>
        <v>Small Decarbonisation Projects Re-opener</v>
      </c>
      <c r="G148" s="43" t="s">
        <v>33</v>
      </c>
      <c r="H148" s="43" t="str">
        <f>NGT_TO!H223</f>
        <v>Other capex</v>
      </c>
      <c r="AU148" s="175">
        <f>NGT_TO!AU223</f>
        <v>0.93</v>
      </c>
      <c r="AV148" s="56">
        <f>NGT_TO!AV223</f>
        <v>0.93</v>
      </c>
      <c r="AW148" s="56">
        <f>NGT_TO!AW223</f>
        <v>0.93</v>
      </c>
      <c r="AX148" s="56">
        <f>NGT_TO!AX223</f>
        <v>0.93</v>
      </c>
      <c r="AY148" s="186">
        <f>NGT_TO!AY223</f>
        <v>0.93</v>
      </c>
      <c r="AZ148"/>
      <c r="BA148" s="44" t="str">
        <f t="shared" ca="1" si="11"/>
        <v>VariantAllowances</v>
      </c>
      <c r="BB148" s="44" t="str">
        <f t="shared" si="9"/>
        <v>TO variant allowances</v>
      </c>
      <c r="BC148" s="44" t="str">
        <f t="shared" si="10"/>
        <v>Variant allowances percentage allocation</v>
      </c>
    </row>
    <row r="149" spans="5:55">
      <c r="E149" s="212" t="str">
        <f>NGT_TO!E224</f>
        <v>Small Decarbonisation Projects Re-opener</v>
      </c>
      <c r="G149" s="43" t="s">
        <v>33</v>
      </c>
      <c r="H149" s="43" t="str">
        <f>NGT_TO!H224</f>
        <v>Non-operational capex</v>
      </c>
      <c r="AU149" s="175">
        <f>NGT_TO!AU224</f>
        <v>0</v>
      </c>
      <c r="AV149" s="56">
        <f>NGT_TO!AV224</f>
        <v>0</v>
      </c>
      <c r="AW149" s="56">
        <f>NGT_TO!AW224</f>
        <v>0</v>
      </c>
      <c r="AX149" s="56">
        <f>NGT_TO!AX224</f>
        <v>0</v>
      </c>
      <c r="AY149" s="186">
        <f>NGT_TO!AY224</f>
        <v>0</v>
      </c>
      <c r="AZ149"/>
      <c r="BA149" s="44" t="str">
        <f t="shared" ca="1" si="11"/>
        <v>VariantAllowances</v>
      </c>
      <c r="BB149" s="44" t="str">
        <f t="shared" si="9"/>
        <v>TO variant allowances</v>
      </c>
      <c r="BC149" s="44" t="str">
        <f t="shared" si="10"/>
        <v>Variant allowances percentage allocation</v>
      </c>
    </row>
    <row r="150" spans="5:55">
      <c r="E150" s="212" t="str">
        <f>NGT_TO!E225</f>
        <v>Small Decarbonisation Projects Re-opener</v>
      </c>
      <c r="G150" s="43" t="s">
        <v>33</v>
      </c>
      <c r="H150" s="43" t="str">
        <f>NGT_TO!H225</f>
        <v>Non-load (opex)</v>
      </c>
      <c r="AU150" s="175">
        <f>NGT_TO!AU225</f>
        <v>7.0000000000000007E-2</v>
      </c>
      <c r="AV150" s="56">
        <f>NGT_TO!AV225</f>
        <v>7.0000000000000007E-2</v>
      </c>
      <c r="AW150" s="56">
        <f>NGT_TO!AW225</f>
        <v>7.0000000000000007E-2</v>
      </c>
      <c r="AX150" s="56">
        <f>NGT_TO!AX225</f>
        <v>7.0000000000000007E-2</v>
      </c>
      <c r="AY150" s="186">
        <f>NGT_TO!AY225</f>
        <v>7.0000000000000007E-2</v>
      </c>
      <c r="AZ150"/>
      <c r="BA150" s="44" t="str">
        <f t="shared" ca="1" si="11"/>
        <v>VariantAllowances</v>
      </c>
      <c r="BB150" s="44" t="str">
        <f t="shared" si="9"/>
        <v>TO variant allowances</v>
      </c>
      <c r="BC150" s="44" t="str">
        <f t="shared" si="10"/>
        <v>Variant allowances percentage allocation</v>
      </c>
    </row>
    <row r="151" spans="5:55">
      <c r="E151" s="201" t="str">
        <f>NGT_TO!E226</f>
        <v>Small Decarbonisation Projects Re-opener</v>
      </c>
      <c r="F151" s="225"/>
      <c r="G151" s="202" t="s">
        <v>33</v>
      </c>
      <c r="H151" s="202" t="str">
        <f>NGT_TO!H226</f>
        <v>Indirects (opex)</v>
      </c>
      <c r="I151" s="202"/>
      <c r="J151" s="202"/>
      <c r="K151" s="202"/>
      <c r="L151" s="202"/>
      <c r="M151" s="202"/>
      <c r="N151" s="202"/>
      <c r="O151" s="202"/>
      <c r="P151" s="202"/>
      <c r="Q151" s="202"/>
      <c r="R151" s="202"/>
      <c r="S151" s="202"/>
      <c r="T151" s="202"/>
      <c r="U151" s="202"/>
      <c r="V151" s="202"/>
      <c r="W151" s="202"/>
      <c r="X151" s="202"/>
      <c r="Y151" s="202"/>
      <c r="Z151" s="202"/>
      <c r="AA151" s="202"/>
      <c r="AB151" s="202"/>
      <c r="AC151" s="202"/>
      <c r="AD151" s="202"/>
      <c r="AE151" s="202"/>
      <c r="AF151" s="202"/>
      <c r="AG151" s="202"/>
      <c r="AH151" s="202"/>
      <c r="AI151" s="202"/>
      <c r="AJ151" s="202"/>
      <c r="AK151" s="202"/>
      <c r="AL151" s="202"/>
      <c r="AM151" s="202"/>
      <c r="AN151" s="202"/>
      <c r="AO151" s="202"/>
      <c r="AP151" s="202"/>
      <c r="AQ151" s="202"/>
      <c r="AR151" s="202"/>
      <c r="AS151" s="202"/>
      <c r="AT151" s="203"/>
      <c r="AU151" s="226">
        <f>NGT_TO!AU226</f>
        <v>0</v>
      </c>
      <c r="AV151" s="227">
        <f>NGT_TO!AV226</f>
        <v>0</v>
      </c>
      <c r="AW151" s="227">
        <f>NGT_TO!AW226</f>
        <v>0</v>
      </c>
      <c r="AX151" s="227">
        <f>NGT_TO!AX226</f>
        <v>0</v>
      </c>
      <c r="AY151" s="228">
        <f>NGT_TO!AY226</f>
        <v>0</v>
      </c>
      <c r="AZ151"/>
      <c r="BA151" s="44" t="str">
        <f t="shared" ca="1" si="11"/>
        <v>VariantAllowances</v>
      </c>
      <c r="BB151" s="44" t="str">
        <f t="shared" si="9"/>
        <v>TO variant allowances</v>
      </c>
      <c r="BC151" s="44" t="str">
        <f t="shared" si="10"/>
        <v>Variant allowances percentage allocation</v>
      </c>
    </row>
    <row r="152" spans="5:55">
      <c r="E152" s="195" t="str">
        <f>NGT_TO!E227</f>
        <v>Decarbonisation Project Development Fund UIOLI</v>
      </c>
      <c r="F152" s="221"/>
      <c r="G152" s="196" t="s">
        <v>33</v>
      </c>
      <c r="H152" s="196" t="str">
        <f>NGT_TO!H227</f>
        <v>Load related capex</v>
      </c>
      <c r="I152" s="196"/>
      <c r="J152" s="196"/>
      <c r="K152" s="196"/>
      <c r="L152" s="196"/>
      <c r="M152" s="196"/>
      <c r="N152" s="196"/>
      <c r="O152" s="196"/>
      <c r="P152" s="196"/>
      <c r="Q152" s="196"/>
      <c r="R152" s="196"/>
      <c r="S152" s="196"/>
      <c r="T152" s="196"/>
      <c r="U152" s="196"/>
      <c r="V152" s="196"/>
      <c r="W152" s="196"/>
      <c r="X152" s="196"/>
      <c r="Y152" s="196"/>
      <c r="Z152" s="196"/>
      <c r="AA152" s="196"/>
      <c r="AB152" s="196"/>
      <c r="AC152" s="196"/>
      <c r="AD152" s="196"/>
      <c r="AE152" s="196"/>
      <c r="AF152" s="196"/>
      <c r="AG152" s="196"/>
      <c r="AH152" s="196"/>
      <c r="AI152" s="196"/>
      <c r="AJ152" s="196"/>
      <c r="AK152" s="196"/>
      <c r="AL152" s="196"/>
      <c r="AM152" s="196"/>
      <c r="AN152" s="196"/>
      <c r="AO152" s="196"/>
      <c r="AP152" s="196"/>
      <c r="AQ152" s="196"/>
      <c r="AR152" s="196"/>
      <c r="AS152" s="196"/>
      <c r="AT152" s="197"/>
      <c r="AU152" s="222">
        <f>NGT_TO!AU227</f>
        <v>0</v>
      </c>
      <c r="AV152" s="223">
        <f>NGT_TO!AV227</f>
        <v>0</v>
      </c>
      <c r="AW152" s="223">
        <f>NGT_TO!AW227</f>
        <v>0</v>
      </c>
      <c r="AX152" s="223">
        <f>NGT_TO!AX227</f>
        <v>0</v>
      </c>
      <c r="AY152" s="224">
        <f>NGT_TO!AY227</f>
        <v>0</v>
      </c>
      <c r="AZ152"/>
      <c r="BA152" s="44" t="str">
        <f t="shared" ca="1" si="11"/>
        <v>VariantAllowances</v>
      </c>
      <c r="BB152" s="44" t="str">
        <f t="shared" si="9"/>
        <v>TO variant allowances</v>
      </c>
      <c r="BC152" s="44" t="str">
        <f t="shared" si="10"/>
        <v>Variant allowances percentage allocation</v>
      </c>
    </row>
    <row r="153" spans="5:55">
      <c r="E153" s="212" t="str">
        <f>NGT_TO!E228</f>
        <v>Decarbonisation Project Development Fund UIOLI</v>
      </c>
      <c r="G153" s="43" t="s">
        <v>33</v>
      </c>
      <c r="H153" s="43" t="str">
        <f>NGT_TO!H228</f>
        <v>Asset replacement capex</v>
      </c>
      <c r="AU153" s="175">
        <f>NGT_TO!AU228</f>
        <v>0</v>
      </c>
      <c r="AV153" s="56">
        <f>NGT_TO!AV228</f>
        <v>0</v>
      </c>
      <c r="AW153" s="56">
        <f>NGT_TO!AW228</f>
        <v>0</v>
      </c>
      <c r="AX153" s="56">
        <f>NGT_TO!AX228</f>
        <v>0</v>
      </c>
      <c r="AY153" s="186">
        <f>NGT_TO!AY228</f>
        <v>0</v>
      </c>
      <c r="AZ153"/>
      <c r="BA153" s="44" t="str">
        <f t="shared" ca="1" si="11"/>
        <v>VariantAllowances</v>
      </c>
      <c r="BB153" s="44" t="str">
        <f t="shared" si="9"/>
        <v>TO variant allowances</v>
      </c>
      <c r="BC153" s="44" t="str">
        <f t="shared" si="10"/>
        <v>Variant allowances percentage allocation</v>
      </c>
    </row>
    <row r="154" spans="5:55">
      <c r="E154" s="212" t="str">
        <f>NGT_TO!E229</f>
        <v>Decarbonisation Project Development Fund UIOLI</v>
      </c>
      <c r="G154" s="43" t="s">
        <v>33</v>
      </c>
      <c r="H154" s="43" t="str">
        <f>NGT_TO!H229</f>
        <v>Other capex</v>
      </c>
      <c r="AU154" s="175">
        <f>NGT_TO!AU229</f>
        <v>1</v>
      </c>
      <c r="AV154" s="56">
        <f>NGT_TO!AV229</f>
        <v>1</v>
      </c>
      <c r="AW154" s="56">
        <f>NGT_TO!AW229</f>
        <v>1</v>
      </c>
      <c r="AX154" s="56">
        <f>NGT_TO!AX229</f>
        <v>1</v>
      </c>
      <c r="AY154" s="186">
        <f>NGT_TO!AY229</f>
        <v>1</v>
      </c>
      <c r="AZ154"/>
      <c r="BA154" s="44" t="str">
        <f t="shared" ca="1" si="11"/>
        <v>VariantAllowances</v>
      </c>
      <c r="BB154" s="44" t="str">
        <f t="shared" si="9"/>
        <v>TO variant allowances</v>
      </c>
      <c r="BC154" s="44" t="str">
        <f t="shared" si="10"/>
        <v>Variant allowances percentage allocation</v>
      </c>
    </row>
    <row r="155" spans="5:55">
      <c r="E155" s="212" t="str">
        <f>NGT_TO!E230</f>
        <v>Decarbonisation Project Development Fund UIOLI</v>
      </c>
      <c r="G155" s="43" t="s">
        <v>33</v>
      </c>
      <c r="H155" s="43" t="str">
        <f>NGT_TO!H230</f>
        <v>Non-operational capex</v>
      </c>
      <c r="AU155" s="175">
        <f>NGT_TO!AU230</f>
        <v>0</v>
      </c>
      <c r="AV155" s="56">
        <f>NGT_TO!AV230</f>
        <v>0</v>
      </c>
      <c r="AW155" s="56">
        <f>NGT_TO!AW230</f>
        <v>0</v>
      </c>
      <c r="AX155" s="56">
        <f>NGT_TO!AX230</f>
        <v>0</v>
      </c>
      <c r="AY155" s="186">
        <f>NGT_TO!AY230</f>
        <v>0</v>
      </c>
      <c r="AZ155"/>
      <c r="BA155" s="44" t="str">
        <f t="shared" ca="1" si="11"/>
        <v>VariantAllowances</v>
      </c>
      <c r="BB155" s="44" t="str">
        <f t="shared" si="9"/>
        <v>TO variant allowances</v>
      </c>
      <c r="BC155" s="44" t="str">
        <f t="shared" si="10"/>
        <v>Variant allowances percentage allocation</v>
      </c>
    </row>
    <row r="156" spans="5:55">
      <c r="E156" s="212" t="str">
        <f>NGT_TO!E231</f>
        <v>Decarbonisation Project Development Fund UIOLI</v>
      </c>
      <c r="G156" s="43" t="s">
        <v>33</v>
      </c>
      <c r="H156" s="43" t="str">
        <f>NGT_TO!H231</f>
        <v>Non-load (opex)</v>
      </c>
      <c r="AU156" s="175">
        <f>NGT_TO!AU231</f>
        <v>0</v>
      </c>
      <c r="AV156" s="56">
        <f>NGT_TO!AV231</f>
        <v>0</v>
      </c>
      <c r="AW156" s="56">
        <f>NGT_TO!AW231</f>
        <v>0</v>
      </c>
      <c r="AX156" s="56">
        <f>NGT_TO!AX231</f>
        <v>0</v>
      </c>
      <c r="AY156" s="186">
        <f>NGT_TO!AY231</f>
        <v>0</v>
      </c>
      <c r="AZ156"/>
      <c r="BA156" s="44" t="str">
        <f t="shared" ca="1" si="11"/>
        <v>VariantAllowances</v>
      </c>
      <c r="BB156" s="44" t="str">
        <f t="shared" si="9"/>
        <v>TO variant allowances</v>
      </c>
      <c r="BC156" s="44" t="str">
        <f t="shared" si="10"/>
        <v>Variant allowances percentage allocation</v>
      </c>
    </row>
    <row r="157" spans="5:55">
      <c r="E157" s="201" t="str">
        <f>NGT_TO!E232</f>
        <v>Decarbonisation Project Development Fund UIOLI</v>
      </c>
      <c r="F157" s="225"/>
      <c r="G157" s="202" t="s">
        <v>33</v>
      </c>
      <c r="H157" s="202" t="str">
        <f>NGT_TO!H232</f>
        <v>Indirects (opex)</v>
      </c>
      <c r="I157" s="202"/>
      <c r="J157" s="202"/>
      <c r="K157" s="202"/>
      <c r="L157" s="202"/>
      <c r="M157" s="202"/>
      <c r="N157" s="202"/>
      <c r="O157" s="202"/>
      <c r="P157" s="202"/>
      <c r="Q157" s="202"/>
      <c r="R157" s="202"/>
      <c r="S157" s="202"/>
      <c r="T157" s="202"/>
      <c r="U157" s="202"/>
      <c r="V157" s="202"/>
      <c r="W157" s="202"/>
      <c r="X157" s="202"/>
      <c r="Y157" s="202"/>
      <c r="Z157" s="202"/>
      <c r="AA157" s="202"/>
      <c r="AB157" s="202"/>
      <c r="AC157" s="202"/>
      <c r="AD157" s="202"/>
      <c r="AE157" s="202"/>
      <c r="AF157" s="202"/>
      <c r="AG157" s="202"/>
      <c r="AH157" s="202"/>
      <c r="AI157" s="202"/>
      <c r="AJ157" s="202"/>
      <c r="AK157" s="202"/>
      <c r="AL157" s="202"/>
      <c r="AM157" s="202"/>
      <c r="AN157" s="202"/>
      <c r="AO157" s="202"/>
      <c r="AP157" s="202"/>
      <c r="AQ157" s="202"/>
      <c r="AR157" s="202"/>
      <c r="AS157" s="202"/>
      <c r="AT157" s="203"/>
      <c r="AU157" s="226">
        <f>NGT_TO!AU232</f>
        <v>0</v>
      </c>
      <c r="AV157" s="227">
        <f>NGT_TO!AV232</f>
        <v>0</v>
      </c>
      <c r="AW157" s="227">
        <f>NGT_TO!AW232</f>
        <v>0</v>
      </c>
      <c r="AX157" s="227">
        <f>NGT_TO!AX232</f>
        <v>0</v>
      </c>
      <c r="AY157" s="228">
        <f>NGT_TO!AY232</f>
        <v>0</v>
      </c>
      <c r="AZ157"/>
      <c r="BA157" s="44" t="str">
        <f t="shared" ca="1" si="11"/>
        <v>VariantAllowances</v>
      </c>
      <c r="BB157" s="44" t="str">
        <f t="shared" si="9"/>
        <v>TO variant allowances</v>
      </c>
      <c r="BC157" s="44" t="str">
        <f t="shared" si="10"/>
        <v>Variant allowances percentage allocation</v>
      </c>
    </row>
    <row r="158" spans="5:55">
      <c r="E158" s="195" t="str">
        <f>NGT_TO!E233</f>
        <v>Decarbonisation and Environmental Policy Re-Opener</v>
      </c>
      <c r="F158" s="221"/>
      <c r="G158" s="196" t="s">
        <v>33</v>
      </c>
      <c r="H158" s="196" t="str">
        <f>NGT_TO!H233</f>
        <v>Load related capex</v>
      </c>
      <c r="I158" s="196"/>
      <c r="J158" s="196"/>
      <c r="K158" s="196"/>
      <c r="L158" s="196"/>
      <c r="M158" s="196"/>
      <c r="N158" s="196"/>
      <c r="O158" s="196"/>
      <c r="P158" s="196"/>
      <c r="Q158" s="196"/>
      <c r="R158" s="196"/>
      <c r="S158" s="196"/>
      <c r="T158" s="196"/>
      <c r="U158" s="196"/>
      <c r="V158" s="196"/>
      <c r="W158" s="196"/>
      <c r="X158" s="196"/>
      <c r="Y158" s="196"/>
      <c r="Z158" s="196"/>
      <c r="AA158" s="196"/>
      <c r="AB158" s="196"/>
      <c r="AC158" s="196"/>
      <c r="AD158" s="196"/>
      <c r="AE158" s="196"/>
      <c r="AF158" s="196"/>
      <c r="AG158" s="196"/>
      <c r="AH158" s="196"/>
      <c r="AI158" s="196"/>
      <c r="AJ158" s="196"/>
      <c r="AK158" s="196"/>
      <c r="AL158" s="196"/>
      <c r="AM158" s="196"/>
      <c r="AN158" s="196"/>
      <c r="AO158" s="196"/>
      <c r="AP158" s="196"/>
      <c r="AQ158" s="196"/>
      <c r="AR158" s="196"/>
      <c r="AS158" s="196"/>
      <c r="AT158" s="197"/>
      <c r="AU158" s="222">
        <f>NGT_TO!AU233</f>
        <v>0</v>
      </c>
      <c r="AV158" s="223">
        <f>NGT_TO!AV233</f>
        <v>0</v>
      </c>
      <c r="AW158" s="223">
        <f>NGT_TO!AW233</f>
        <v>0</v>
      </c>
      <c r="AX158" s="223">
        <f>NGT_TO!AX233</f>
        <v>0</v>
      </c>
      <c r="AY158" s="224">
        <f>NGT_TO!AY233</f>
        <v>0</v>
      </c>
      <c r="AZ158"/>
      <c r="BA158" s="44" t="str">
        <f t="shared" ca="1" si="11"/>
        <v>VariantAllowances</v>
      </c>
      <c r="BB158" s="44" t="str">
        <f t="shared" si="9"/>
        <v>TO variant allowances</v>
      </c>
      <c r="BC158" s="44" t="str">
        <f t="shared" si="10"/>
        <v>Variant allowances percentage allocation</v>
      </c>
    </row>
    <row r="159" spans="5:55">
      <c r="E159" s="212" t="str">
        <f>NGT_TO!E234</f>
        <v>Decarbonisation and Environmental Policy Re-Opener</v>
      </c>
      <c r="G159" s="43" t="s">
        <v>33</v>
      </c>
      <c r="H159" s="43" t="str">
        <f>NGT_TO!H234</f>
        <v>Asset replacement capex</v>
      </c>
      <c r="AU159" s="175">
        <f>NGT_TO!AU234</f>
        <v>1</v>
      </c>
      <c r="AV159" s="56">
        <f>NGT_TO!AV234</f>
        <v>1</v>
      </c>
      <c r="AW159" s="56">
        <f>NGT_TO!AW234</f>
        <v>1</v>
      </c>
      <c r="AX159" s="56">
        <f>NGT_TO!AX234</f>
        <v>1</v>
      </c>
      <c r="AY159" s="186">
        <f>NGT_TO!AY234</f>
        <v>1</v>
      </c>
      <c r="AZ159"/>
      <c r="BA159" s="44" t="str">
        <f t="shared" ca="1" si="11"/>
        <v>VariantAllowances</v>
      </c>
      <c r="BB159" s="44" t="str">
        <f t="shared" si="9"/>
        <v>TO variant allowances</v>
      </c>
      <c r="BC159" s="44" t="str">
        <f t="shared" si="10"/>
        <v>Variant allowances percentage allocation</v>
      </c>
    </row>
    <row r="160" spans="5:55">
      <c r="E160" s="212" t="str">
        <f>NGT_TO!E235</f>
        <v>Decarbonisation and Environmental Policy Re-Opener</v>
      </c>
      <c r="G160" s="43" t="s">
        <v>33</v>
      </c>
      <c r="H160" s="43" t="str">
        <f>NGT_TO!H235</f>
        <v>Other capex</v>
      </c>
      <c r="AU160" s="175">
        <f>NGT_TO!AU235</f>
        <v>0</v>
      </c>
      <c r="AV160" s="56">
        <f>NGT_TO!AV235</f>
        <v>0</v>
      </c>
      <c r="AW160" s="56">
        <f>NGT_TO!AW235</f>
        <v>0</v>
      </c>
      <c r="AX160" s="56">
        <f>NGT_TO!AX235</f>
        <v>0</v>
      </c>
      <c r="AY160" s="186">
        <f>NGT_TO!AY235</f>
        <v>0</v>
      </c>
      <c r="AZ160"/>
      <c r="BA160" s="44" t="str">
        <f t="shared" ca="1" si="11"/>
        <v>VariantAllowances</v>
      </c>
      <c r="BB160" s="44" t="str">
        <f t="shared" si="9"/>
        <v>TO variant allowances</v>
      </c>
      <c r="BC160" s="44" t="str">
        <f t="shared" si="10"/>
        <v>Variant allowances percentage allocation</v>
      </c>
    </row>
    <row r="161" spans="5:55">
      <c r="E161" s="212" t="str">
        <f>NGT_TO!E236</f>
        <v>Decarbonisation and Environmental Policy Re-Opener</v>
      </c>
      <c r="G161" s="43" t="s">
        <v>33</v>
      </c>
      <c r="H161" s="43" t="str">
        <f>NGT_TO!H236</f>
        <v>Non-operational capex</v>
      </c>
      <c r="AU161" s="175">
        <f>NGT_TO!AU236</f>
        <v>0</v>
      </c>
      <c r="AV161" s="56">
        <f>NGT_TO!AV236</f>
        <v>0</v>
      </c>
      <c r="AW161" s="56">
        <f>NGT_TO!AW236</f>
        <v>0</v>
      </c>
      <c r="AX161" s="56">
        <f>NGT_TO!AX236</f>
        <v>0</v>
      </c>
      <c r="AY161" s="186">
        <f>NGT_TO!AY236</f>
        <v>0</v>
      </c>
      <c r="AZ161"/>
      <c r="BA161" s="44" t="str">
        <f t="shared" ca="1" si="11"/>
        <v>VariantAllowances</v>
      </c>
      <c r="BB161" s="44" t="str">
        <f t="shared" si="9"/>
        <v>TO variant allowances</v>
      </c>
      <c r="BC161" s="44" t="str">
        <f t="shared" si="10"/>
        <v>Variant allowances percentage allocation</v>
      </c>
    </row>
    <row r="162" spans="5:55">
      <c r="E162" s="212" t="str">
        <f>NGT_TO!E237</f>
        <v>Decarbonisation and Environmental Policy Re-Opener</v>
      </c>
      <c r="G162" s="43" t="s">
        <v>33</v>
      </c>
      <c r="H162" s="43" t="str">
        <f>NGT_TO!H237</f>
        <v>Non-load (opex)</v>
      </c>
      <c r="AU162" s="175">
        <f>NGT_TO!AU237</f>
        <v>0</v>
      </c>
      <c r="AV162" s="56">
        <f>NGT_TO!AV237</f>
        <v>0</v>
      </c>
      <c r="AW162" s="56">
        <f>NGT_TO!AW237</f>
        <v>0</v>
      </c>
      <c r="AX162" s="56">
        <f>NGT_TO!AX237</f>
        <v>0</v>
      </c>
      <c r="AY162" s="186">
        <f>NGT_TO!AY237</f>
        <v>0</v>
      </c>
      <c r="AZ162"/>
      <c r="BA162" s="44" t="str">
        <f t="shared" ca="1" si="11"/>
        <v>VariantAllowances</v>
      </c>
      <c r="BB162" s="44" t="str">
        <f t="shared" ref="BB162:BB225" si="12">$A$6</f>
        <v>TO variant allowances</v>
      </c>
      <c r="BC162" s="44" t="str">
        <f t="shared" ref="BC162:BC225" si="13">$B$97</f>
        <v>Variant allowances percentage allocation</v>
      </c>
    </row>
    <row r="163" spans="5:55">
      <c r="E163" s="201" t="str">
        <f>NGT_TO!E238</f>
        <v>Decarbonisation and Environmental Policy Re-Opener</v>
      </c>
      <c r="F163" s="225"/>
      <c r="G163" s="202" t="s">
        <v>33</v>
      </c>
      <c r="H163" s="202" t="str">
        <f>NGT_TO!H238</f>
        <v>Indirects (opex)</v>
      </c>
      <c r="I163" s="202"/>
      <c r="J163" s="202"/>
      <c r="K163" s="202"/>
      <c r="L163" s="202"/>
      <c r="M163" s="202"/>
      <c r="N163" s="202"/>
      <c r="O163" s="202"/>
      <c r="P163" s="202"/>
      <c r="Q163" s="202"/>
      <c r="R163" s="202"/>
      <c r="S163" s="202"/>
      <c r="T163" s="202"/>
      <c r="U163" s="202"/>
      <c r="V163" s="202"/>
      <c r="W163" s="202"/>
      <c r="X163" s="202"/>
      <c r="Y163" s="202"/>
      <c r="Z163" s="202"/>
      <c r="AA163" s="202"/>
      <c r="AB163" s="202"/>
      <c r="AC163" s="202"/>
      <c r="AD163" s="202"/>
      <c r="AE163" s="202"/>
      <c r="AF163" s="202"/>
      <c r="AG163" s="202"/>
      <c r="AH163" s="202"/>
      <c r="AI163" s="202"/>
      <c r="AJ163" s="202"/>
      <c r="AK163" s="202"/>
      <c r="AL163" s="202"/>
      <c r="AM163" s="202"/>
      <c r="AN163" s="202"/>
      <c r="AO163" s="202"/>
      <c r="AP163" s="202"/>
      <c r="AQ163" s="202"/>
      <c r="AR163" s="202"/>
      <c r="AS163" s="202"/>
      <c r="AT163" s="203"/>
      <c r="AU163" s="226">
        <f>NGT_TO!AU238</f>
        <v>0</v>
      </c>
      <c r="AV163" s="227">
        <f>NGT_TO!AV238</f>
        <v>0</v>
      </c>
      <c r="AW163" s="227">
        <f>NGT_TO!AW238</f>
        <v>0</v>
      </c>
      <c r="AX163" s="227">
        <f>NGT_TO!AX238</f>
        <v>0</v>
      </c>
      <c r="AY163" s="228">
        <f>NGT_TO!AY238</f>
        <v>0</v>
      </c>
      <c r="AZ163"/>
      <c r="BA163" s="44" t="str">
        <f t="shared" ca="1" si="11"/>
        <v>VariantAllowances</v>
      </c>
      <c r="BB163" s="44" t="str">
        <f t="shared" si="12"/>
        <v>TO variant allowances</v>
      </c>
      <c r="BC163" s="44" t="str">
        <f t="shared" si="13"/>
        <v>Variant allowances percentage allocation</v>
      </c>
    </row>
    <row r="164" spans="5:55">
      <c r="E164" s="195" t="str">
        <f>NGT_TO!E239</f>
        <v>Digitalisation Re-opener</v>
      </c>
      <c r="F164" s="221"/>
      <c r="G164" s="196" t="s">
        <v>33</v>
      </c>
      <c r="H164" s="196" t="str">
        <f>NGT_TO!H239</f>
        <v>Load related capex</v>
      </c>
      <c r="I164" s="196"/>
      <c r="J164" s="196"/>
      <c r="K164" s="196"/>
      <c r="L164" s="196"/>
      <c r="M164" s="196"/>
      <c r="N164" s="196"/>
      <c r="O164" s="196"/>
      <c r="P164" s="196"/>
      <c r="Q164" s="196"/>
      <c r="R164" s="196"/>
      <c r="S164" s="196"/>
      <c r="T164" s="196"/>
      <c r="U164" s="196"/>
      <c r="V164" s="196"/>
      <c r="W164" s="196"/>
      <c r="X164" s="196"/>
      <c r="Y164" s="196"/>
      <c r="Z164" s="196"/>
      <c r="AA164" s="196"/>
      <c r="AB164" s="196"/>
      <c r="AC164" s="196"/>
      <c r="AD164" s="196"/>
      <c r="AE164" s="196"/>
      <c r="AF164" s="196"/>
      <c r="AG164" s="196"/>
      <c r="AH164" s="196"/>
      <c r="AI164" s="196"/>
      <c r="AJ164" s="196"/>
      <c r="AK164" s="196"/>
      <c r="AL164" s="196"/>
      <c r="AM164" s="196"/>
      <c r="AN164" s="196"/>
      <c r="AO164" s="196"/>
      <c r="AP164" s="196"/>
      <c r="AQ164" s="196"/>
      <c r="AR164" s="196"/>
      <c r="AS164" s="196"/>
      <c r="AT164" s="197"/>
      <c r="AU164" s="222">
        <f>NGT_TO!AU239</f>
        <v>0</v>
      </c>
      <c r="AV164" s="223">
        <f>NGT_TO!AV239</f>
        <v>0</v>
      </c>
      <c r="AW164" s="223">
        <f>NGT_TO!AW239</f>
        <v>0</v>
      </c>
      <c r="AX164" s="223">
        <f>NGT_TO!AX239</f>
        <v>0</v>
      </c>
      <c r="AY164" s="224">
        <f>NGT_TO!AY239</f>
        <v>0</v>
      </c>
      <c r="AZ164"/>
      <c r="BA164" s="44" t="str">
        <f t="shared" ca="1" si="11"/>
        <v>VariantAllowances</v>
      </c>
      <c r="BB164" s="44" t="str">
        <f t="shared" si="12"/>
        <v>TO variant allowances</v>
      </c>
      <c r="BC164" s="44" t="str">
        <f t="shared" si="13"/>
        <v>Variant allowances percentage allocation</v>
      </c>
    </row>
    <row r="165" spans="5:55">
      <c r="E165" s="212" t="str">
        <f>NGT_TO!E240</f>
        <v>Digitalisation Re-opener</v>
      </c>
      <c r="G165" s="43" t="s">
        <v>33</v>
      </c>
      <c r="H165" s="43" t="str">
        <f>NGT_TO!H240</f>
        <v>Asset replacement capex</v>
      </c>
      <c r="AU165" s="175">
        <f>NGT_TO!AU240</f>
        <v>0</v>
      </c>
      <c r="AV165" s="56">
        <f>NGT_TO!AV240</f>
        <v>0</v>
      </c>
      <c r="AW165" s="56">
        <f>NGT_TO!AW240</f>
        <v>0</v>
      </c>
      <c r="AX165" s="56">
        <f>NGT_TO!AX240</f>
        <v>0</v>
      </c>
      <c r="AY165" s="186">
        <f>NGT_TO!AY240</f>
        <v>0</v>
      </c>
      <c r="AZ165"/>
      <c r="BA165" s="44" t="str">
        <f t="shared" ca="1" si="11"/>
        <v>VariantAllowances</v>
      </c>
      <c r="BB165" s="44" t="str">
        <f t="shared" si="12"/>
        <v>TO variant allowances</v>
      </c>
      <c r="BC165" s="44" t="str">
        <f t="shared" si="13"/>
        <v>Variant allowances percentage allocation</v>
      </c>
    </row>
    <row r="166" spans="5:55">
      <c r="E166" s="212" t="str">
        <f>NGT_TO!E241</f>
        <v>Digitalisation Re-opener</v>
      </c>
      <c r="G166" s="43" t="s">
        <v>33</v>
      </c>
      <c r="H166" s="43" t="str">
        <f>NGT_TO!H241</f>
        <v>Other capex</v>
      </c>
      <c r="AU166" s="175">
        <f>NGT_TO!AU241</f>
        <v>1</v>
      </c>
      <c r="AV166" s="56">
        <f>NGT_TO!AV241</f>
        <v>1</v>
      </c>
      <c r="AW166" s="56">
        <f>NGT_TO!AW241</f>
        <v>1</v>
      </c>
      <c r="AX166" s="56">
        <f>NGT_TO!AX241</f>
        <v>1</v>
      </c>
      <c r="AY166" s="186">
        <f>NGT_TO!AY241</f>
        <v>1</v>
      </c>
      <c r="AZ166"/>
      <c r="BA166" s="44" t="str">
        <f t="shared" ca="1" si="11"/>
        <v>VariantAllowances</v>
      </c>
      <c r="BB166" s="44" t="str">
        <f t="shared" si="12"/>
        <v>TO variant allowances</v>
      </c>
      <c r="BC166" s="44" t="str">
        <f t="shared" si="13"/>
        <v>Variant allowances percentage allocation</v>
      </c>
    </row>
    <row r="167" spans="5:55">
      <c r="E167" s="212" t="str">
        <f>NGT_TO!E242</f>
        <v>Digitalisation Re-opener</v>
      </c>
      <c r="G167" s="43" t="s">
        <v>33</v>
      </c>
      <c r="H167" s="43" t="str">
        <f>NGT_TO!H242</f>
        <v>Non-operational capex</v>
      </c>
      <c r="AU167" s="175">
        <f>NGT_TO!AU242</f>
        <v>0</v>
      </c>
      <c r="AV167" s="56">
        <f>NGT_TO!AV242</f>
        <v>0</v>
      </c>
      <c r="AW167" s="56">
        <f>NGT_TO!AW242</f>
        <v>0</v>
      </c>
      <c r="AX167" s="56">
        <f>NGT_TO!AX242</f>
        <v>0</v>
      </c>
      <c r="AY167" s="186">
        <f>NGT_TO!AY242</f>
        <v>0</v>
      </c>
      <c r="AZ167"/>
      <c r="BA167" s="44" t="str">
        <f t="shared" ca="1" si="11"/>
        <v>VariantAllowances</v>
      </c>
      <c r="BB167" s="44" t="str">
        <f t="shared" si="12"/>
        <v>TO variant allowances</v>
      </c>
      <c r="BC167" s="44" t="str">
        <f t="shared" si="13"/>
        <v>Variant allowances percentage allocation</v>
      </c>
    </row>
    <row r="168" spans="5:55">
      <c r="E168" s="212" t="str">
        <f>NGT_TO!E243</f>
        <v>Digitalisation Re-opener</v>
      </c>
      <c r="G168" s="43" t="s">
        <v>33</v>
      </c>
      <c r="H168" s="43" t="str">
        <f>NGT_TO!H243</f>
        <v>Non-load (opex)</v>
      </c>
      <c r="AU168" s="175">
        <f>NGT_TO!AU243</f>
        <v>0</v>
      </c>
      <c r="AV168" s="56">
        <f>NGT_TO!AV243</f>
        <v>0</v>
      </c>
      <c r="AW168" s="56">
        <f>NGT_TO!AW243</f>
        <v>0</v>
      </c>
      <c r="AX168" s="56">
        <f>NGT_TO!AX243</f>
        <v>0</v>
      </c>
      <c r="AY168" s="186">
        <f>NGT_TO!AY243</f>
        <v>0</v>
      </c>
      <c r="AZ168"/>
      <c r="BA168" s="44" t="str">
        <f t="shared" ca="1" si="11"/>
        <v>VariantAllowances</v>
      </c>
      <c r="BB168" s="44" t="str">
        <f t="shared" si="12"/>
        <v>TO variant allowances</v>
      </c>
      <c r="BC168" s="44" t="str">
        <f t="shared" si="13"/>
        <v>Variant allowances percentage allocation</v>
      </c>
    </row>
    <row r="169" spans="5:55">
      <c r="E169" s="201" t="str">
        <f>NGT_TO!E244</f>
        <v>Digitalisation Re-opener</v>
      </c>
      <c r="F169" s="225"/>
      <c r="G169" s="202" t="s">
        <v>33</v>
      </c>
      <c r="H169" s="202" t="str">
        <f>NGT_TO!H244</f>
        <v>Indirects (opex)</v>
      </c>
      <c r="I169" s="202"/>
      <c r="J169" s="202"/>
      <c r="K169" s="202"/>
      <c r="L169" s="202"/>
      <c r="M169" s="202"/>
      <c r="N169" s="202"/>
      <c r="O169" s="202"/>
      <c r="P169" s="202"/>
      <c r="Q169" s="202"/>
      <c r="R169" s="202"/>
      <c r="S169" s="202"/>
      <c r="T169" s="202"/>
      <c r="U169" s="202"/>
      <c r="V169" s="202"/>
      <c r="W169" s="202"/>
      <c r="X169" s="202"/>
      <c r="Y169" s="202"/>
      <c r="Z169" s="202"/>
      <c r="AA169" s="202"/>
      <c r="AB169" s="202"/>
      <c r="AC169" s="202"/>
      <c r="AD169" s="202"/>
      <c r="AE169" s="202"/>
      <c r="AF169" s="202"/>
      <c r="AG169" s="202"/>
      <c r="AH169" s="202"/>
      <c r="AI169" s="202"/>
      <c r="AJ169" s="202"/>
      <c r="AK169" s="202"/>
      <c r="AL169" s="202"/>
      <c r="AM169" s="202"/>
      <c r="AN169" s="202"/>
      <c r="AO169" s="202"/>
      <c r="AP169" s="202"/>
      <c r="AQ169" s="202"/>
      <c r="AR169" s="202"/>
      <c r="AS169" s="202"/>
      <c r="AT169" s="203"/>
      <c r="AU169" s="226">
        <f>NGT_TO!AU244</f>
        <v>0</v>
      </c>
      <c r="AV169" s="227">
        <f>NGT_TO!AV244</f>
        <v>0</v>
      </c>
      <c r="AW169" s="227">
        <f>NGT_TO!AW244</f>
        <v>0</v>
      </c>
      <c r="AX169" s="227">
        <f>NGT_TO!AX244</f>
        <v>0</v>
      </c>
      <c r="AY169" s="228">
        <f>NGT_TO!AY244</f>
        <v>0</v>
      </c>
      <c r="AZ169"/>
      <c r="BA169" s="44" t="str">
        <f t="shared" ca="1" si="11"/>
        <v>VariantAllowances</v>
      </c>
      <c r="BB169" s="44" t="str">
        <f t="shared" si="12"/>
        <v>TO variant allowances</v>
      </c>
      <c r="BC169" s="44" t="str">
        <f t="shared" si="13"/>
        <v>Variant allowances percentage allocation</v>
      </c>
    </row>
    <row r="170" spans="5:55">
      <c r="E170" s="195" t="str">
        <f>NGT_TO!E245</f>
        <v>Coordinated Adjustment Mechanism Re-opener</v>
      </c>
      <c r="F170" s="221"/>
      <c r="G170" s="196" t="s">
        <v>33</v>
      </c>
      <c r="H170" s="196" t="str">
        <f>NGT_TO!H245</f>
        <v>Load related capex</v>
      </c>
      <c r="I170" s="196"/>
      <c r="J170" s="196"/>
      <c r="K170" s="196"/>
      <c r="L170" s="196"/>
      <c r="M170" s="196"/>
      <c r="N170" s="196"/>
      <c r="O170" s="196"/>
      <c r="P170" s="196"/>
      <c r="Q170" s="196"/>
      <c r="R170" s="196"/>
      <c r="S170" s="196"/>
      <c r="T170" s="196"/>
      <c r="U170" s="196"/>
      <c r="V170" s="196"/>
      <c r="W170" s="196"/>
      <c r="X170" s="196"/>
      <c r="Y170" s="196"/>
      <c r="Z170" s="196"/>
      <c r="AA170" s="196"/>
      <c r="AB170" s="196"/>
      <c r="AC170" s="196"/>
      <c r="AD170" s="196"/>
      <c r="AE170" s="196"/>
      <c r="AF170" s="196"/>
      <c r="AG170" s="196"/>
      <c r="AH170" s="196"/>
      <c r="AI170" s="196"/>
      <c r="AJ170" s="196"/>
      <c r="AK170" s="196"/>
      <c r="AL170" s="196"/>
      <c r="AM170" s="196"/>
      <c r="AN170" s="196"/>
      <c r="AO170" s="196"/>
      <c r="AP170" s="196"/>
      <c r="AQ170" s="196"/>
      <c r="AR170" s="196"/>
      <c r="AS170" s="196"/>
      <c r="AT170" s="197"/>
      <c r="AU170" s="222">
        <f>NGT_TO!AU245</f>
        <v>0</v>
      </c>
      <c r="AV170" s="223">
        <f>NGT_TO!AV245</f>
        <v>0</v>
      </c>
      <c r="AW170" s="223">
        <f>NGT_TO!AW245</f>
        <v>0</v>
      </c>
      <c r="AX170" s="223">
        <f>NGT_TO!AX245</f>
        <v>0</v>
      </c>
      <c r="AY170" s="224">
        <f>NGT_TO!AY245</f>
        <v>0</v>
      </c>
      <c r="AZ170"/>
      <c r="BA170" s="44" t="str">
        <f t="shared" ca="1" si="11"/>
        <v>VariantAllowances</v>
      </c>
      <c r="BB170" s="44" t="str">
        <f t="shared" si="12"/>
        <v>TO variant allowances</v>
      </c>
      <c r="BC170" s="44" t="str">
        <f t="shared" si="13"/>
        <v>Variant allowances percentage allocation</v>
      </c>
    </row>
    <row r="171" spans="5:55">
      <c r="E171" s="212" t="str">
        <f>NGT_TO!E246</f>
        <v>Coordinated Adjustment Mechanism Re-opener</v>
      </c>
      <c r="G171" s="43" t="s">
        <v>33</v>
      </c>
      <c r="H171" s="43" t="str">
        <f>NGT_TO!H246</f>
        <v>Asset replacement capex</v>
      </c>
      <c r="AU171" s="175">
        <f>NGT_TO!AU246</f>
        <v>0</v>
      </c>
      <c r="AV171" s="56">
        <f>NGT_TO!AV246</f>
        <v>0</v>
      </c>
      <c r="AW171" s="56">
        <f>NGT_TO!AW246</f>
        <v>0</v>
      </c>
      <c r="AX171" s="56">
        <f>NGT_TO!AX246</f>
        <v>0</v>
      </c>
      <c r="AY171" s="186">
        <f>NGT_TO!AY246</f>
        <v>0</v>
      </c>
      <c r="AZ171"/>
      <c r="BA171" s="44" t="str">
        <f t="shared" ref="BA171:BA234" ca="1" si="14">$A$1</f>
        <v>VariantAllowances</v>
      </c>
      <c r="BB171" s="44" t="str">
        <f t="shared" si="12"/>
        <v>TO variant allowances</v>
      </c>
      <c r="BC171" s="44" t="str">
        <f t="shared" si="13"/>
        <v>Variant allowances percentage allocation</v>
      </c>
    </row>
    <row r="172" spans="5:55">
      <c r="E172" s="212" t="str">
        <f>NGT_TO!E247</f>
        <v>Coordinated Adjustment Mechanism Re-opener</v>
      </c>
      <c r="G172" s="43" t="s">
        <v>33</v>
      </c>
      <c r="H172" s="43" t="str">
        <f>NGT_TO!H247</f>
        <v>Other capex</v>
      </c>
      <c r="AU172" s="175">
        <f>NGT_TO!AU247</f>
        <v>0</v>
      </c>
      <c r="AV172" s="56">
        <f>NGT_TO!AV247</f>
        <v>0</v>
      </c>
      <c r="AW172" s="56">
        <f>NGT_TO!AW247</f>
        <v>0</v>
      </c>
      <c r="AX172" s="56">
        <f>NGT_TO!AX247</f>
        <v>0</v>
      </c>
      <c r="AY172" s="186">
        <f>NGT_TO!AY247</f>
        <v>0</v>
      </c>
      <c r="AZ172"/>
      <c r="BA172" s="44" t="str">
        <f t="shared" ca="1" si="14"/>
        <v>VariantAllowances</v>
      </c>
      <c r="BB172" s="44" t="str">
        <f t="shared" si="12"/>
        <v>TO variant allowances</v>
      </c>
      <c r="BC172" s="44" t="str">
        <f t="shared" si="13"/>
        <v>Variant allowances percentage allocation</v>
      </c>
    </row>
    <row r="173" spans="5:55">
      <c r="E173" s="212" t="str">
        <f>NGT_TO!E248</f>
        <v>Coordinated Adjustment Mechanism Re-opener</v>
      </c>
      <c r="G173" s="43" t="s">
        <v>33</v>
      </c>
      <c r="H173" s="43" t="str">
        <f>NGT_TO!H248</f>
        <v>Non-operational capex</v>
      </c>
      <c r="AU173" s="175">
        <f>NGT_TO!AU248</f>
        <v>0</v>
      </c>
      <c r="AV173" s="56">
        <f>NGT_TO!AV248</f>
        <v>0</v>
      </c>
      <c r="AW173" s="56">
        <f>NGT_TO!AW248</f>
        <v>0</v>
      </c>
      <c r="AX173" s="56">
        <f>NGT_TO!AX248</f>
        <v>0</v>
      </c>
      <c r="AY173" s="186">
        <f>NGT_TO!AY248</f>
        <v>0</v>
      </c>
      <c r="AZ173"/>
      <c r="BA173" s="44" t="str">
        <f t="shared" ca="1" si="14"/>
        <v>VariantAllowances</v>
      </c>
      <c r="BB173" s="44" t="str">
        <f t="shared" si="12"/>
        <v>TO variant allowances</v>
      </c>
      <c r="BC173" s="44" t="str">
        <f t="shared" si="13"/>
        <v>Variant allowances percentage allocation</v>
      </c>
    </row>
    <row r="174" spans="5:55">
      <c r="E174" s="212" t="str">
        <f>NGT_TO!E249</f>
        <v>Coordinated Adjustment Mechanism Re-opener</v>
      </c>
      <c r="G174" s="43" t="s">
        <v>33</v>
      </c>
      <c r="H174" s="43" t="str">
        <f>NGT_TO!H249</f>
        <v>Non-load (opex)</v>
      </c>
      <c r="AU174" s="175">
        <f>NGT_TO!AU249</f>
        <v>0</v>
      </c>
      <c r="AV174" s="56">
        <f>NGT_TO!AV249</f>
        <v>0</v>
      </c>
      <c r="AW174" s="56">
        <f>NGT_TO!AW249</f>
        <v>0</v>
      </c>
      <c r="AX174" s="56">
        <f>NGT_TO!AX249</f>
        <v>0</v>
      </c>
      <c r="AY174" s="186">
        <f>NGT_TO!AY249</f>
        <v>0</v>
      </c>
      <c r="AZ174"/>
      <c r="BA174" s="44" t="str">
        <f t="shared" ca="1" si="14"/>
        <v>VariantAllowances</v>
      </c>
      <c r="BB174" s="44" t="str">
        <f t="shared" si="12"/>
        <v>TO variant allowances</v>
      </c>
      <c r="BC174" s="44" t="str">
        <f t="shared" si="13"/>
        <v>Variant allowances percentage allocation</v>
      </c>
    </row>
    <row r="175" spans="5:55">
      <c r="E175" s="201" t="str">
        <f>NGT_TO!E250</f>
        <v>Coordinated Adjustment Mechanism Re-opener</v>
      </c>
      <c r="F175" s="225"/>
      <c r="G175" s="202" t="s">
        <v>33</v>
      </c>
      <c r="H175" s="202" t="str">
        <f>NGT_TO!H250</f>
        <v>Indirects (opex)</v>
      </c>
      <c r="I175" s="202"/>
      <c r="J175" s="202"/>
      <c r="K175" s="202"/>
      <c r="L175" s="202"/>
      <c r="M175" s="202"/>
      <c r="N175" s="202"/>
      <c r="O175" s="202"/>
      <c r="P175" s="202"/>
      <c r="Q175" s="202"/>
      <c r="R175" s="202"/>
      <c r="S175" s="202"/>
      <c r="T175" s="202"/>
      <c r="U175" s="202"/>
      <c r="V175" s="202"/>
      <c r="W175" s="202"/>
      <c r="X175" s="202"/>
      <c r="Y175" s="202"/>
      <c r="Z175" s="202"/>
      <c r="AA175" s="202"/>
      <c r="AB175" s="202"/>
      <c r="AC175" s="202"/>
      <c r="AD175" s="202"/>
      <c r="AE175" s="202"/>
      <c r="AF175" s="202"/>
      <c r="AG175" s="202"/>
      <c r="AH175" s="202"/>
      <c r="AI175" s="202"/>
      <c r="AJ175" s="202"/>
      <c r="AK175" s="202"/>
      <c r="AL175" s="202"/>
      <c r="AM175" s="202"/>
      <c r="AN175" s="202"/>
      <c r="AO175" s="202"/>
      <c r="AP175" s="202"/>
      <c r="AQ175" s="202"/>
      <c r="AR175" s="202"/>
      <c r="AS175" s="202"/>
      <c r="AT175" s="203"/>
      <c r="AU175" s="226">
        <f>NGT_TO!AU250</f>
        <v>0</v>
      </c>
      <c r="AV175" s="227">
        <f>NGT_TO!AV250</f>
        <v>0</v>
      </c>
      <c r="AW175" s="227">
        <f>NGT_TO!AW250</f>
        <v>0</v>
      </c>
      <c r="AX175" s="227">
        <f>NGT_TO!AX250</f>
        <v>0</v>
      </c>
      <c r="AY175" s="228">
        <f>NGT_TO!AY250</f>
        <v>0</v>
      </c>
      <c r="AZ175"/>
      <c r="BA175" s="44" t="str">
        <f t="shared" ca="1" si="14"/>
        <v>VariantAllowances</v>
      </c>
      <c r="BB175" s="44" t="str">
        <f t="shared" si="12"/>
        <v>TO variant allowances</v>
      </c>
      <c r="BC175" s="44" t="str">
        <f t="shared" si="13"/>
        <v>Variant allowances percentage allocation</v>
      </c>
    </row>
    <row r="176" spans="5:55">
      <c r="E176" s="195" t="str">
        <f>NGT_TO!E251</f>
        <v>Bacton terminal site redevelopment Price Control Deliverable</v>
      </c>
      <c r="F176" s="221"/>
      <c r="G176" s="196" t="s">
        <v>33</v>
      </c>
      <c r="H176" s="196" t="str">
        <f>NGT_TO!H251</f>
        <v>Load related capex</v>
      </c>
      <c r="I176" s="196"/>
      <c r="J176" s="196"/>
      <c r="K176" s="196"/>
      <c r="L176" s="196"/>
      <c r="M176" s="196"/>
      <c r="N176" s="196"/>
      <c r="O176" s="196"/>
      <c r="P176" s="196"/>
      <c r="Q176" s="196"/>
      <c r="R176" s="196"/>
      <c r="S176" s="196"/>
      <c r="T176" s="196"/>
      <c r="U176" s="196"/>
      <c r="V176" s="196"/>
      <c r="W176" s="196"/>
      <c r="X176" s="196"/>
      <c r="Y176" s="196"/>
      <c r="Z176" s="196"/>
      <c r="AA176" s="196"/>
      <c r="AB176" s="196"/>
      <c r="AC176" s="196"/>
      <c r="AD176" s="196"/>
      <c r="AE176" s="196"/>
      <c r="AF176" s="196"/>
      <c r="AG176" s="196"/>
      <c r="AH176" s="196"/>
      <c r="AI176" s="196"/>
      <c r="AJ176" s="196"/>
      <c r="AK176" s="196"/>
      <c r="AL176" s="196"/>
      <c r="AM176" s="196"/>
      <c r="AN176" s="196"/>
      <c r="AO176" s="196"/>
      <c r="AP176" s="196"/>
      <c r="AQ176" s="196"/>
      <c r="AR176" s="196"/>
      <c r="AS176" s="196"/>
      <c r="AT176" s="197"/>
      <c r="AU176" s="222">
        <f>NGT_TO!AU251</f>
        <v>0</v>
      </c>
      <c r="AV176" s="223">
        <f>NGT_TO!AV251</f>
        <v>0</v>
      </c>
      <c r="AW176" s="223">
        <f>NGT_TO!AW251</f>
        <v>0</v>
      </c>
      <c r="AX176" s="223">
        <f>NGT_TO!AX251</f>
        <v>0</v>
      </c>
      <c r="AY176" s="224">
        <f>NGT_TO!AY251</f>
        <v>0</v>
      </c>
      <c r="AZ176"/>
      <c r="BA176" s="44" t="str">
        <f t="shared" ca="1" si="14"/>
        <v>VariantAllowances</v>
      </c>
      <c r="BB176" s="44" t="str">
        <f t="shared" si="12"/>
        <v>TO variant allowances</v>
      </c>
      <c r="BC176" s="44" t="str">
        <f t="shared" si="13"/>
        <v>Variant allowances percentage allocation</v>
      </c>
    </row>
    <row r="177" spans="5:55">
      <c r="E177" s="212" t="str">
        <f>NGT_TO!E252</f>
        <v>Bacton terminal site redevelopment Price Control Deliverable</v>
      </c>
      <c r="G177" s="43" t="s">
        <v>33</v>
      </c>
      <c r="H177" s="43" t="str">
        <f>NGT_TO!H252</f>
        <v>Asset replacement capex</v>
      </c>
      <c r="AU177" s="175">
        <f>NGT_TO!AU252</f>
        <v>1</v>
      </c>
      <c r="AV177" s="56">
        <f>NGT_TO!AV252</f>
        <v>1</v>
      </c>
      <c r="AW177" s="56">
        <f>NGT_TO!AW252</f>
        <v>1</v>
      </c>
      <c r="AX177" s="56">
        <f>NGT_TO!AX252</f>
        <v>1</v>
      </c>
      <c r="AY177" s="186">
        <f>NGT_TO!AY252</f>
        <v>1</v>
      </c>
      <c r="AZ177"/>
      <c r="BA177" s="44" t="str">
        <f t="shared" ca="1" si="14"/>
        <v>VariantAllowances</v>
      </c>
      <c r="BB177" s="44" t="str">
        <f t="shared" si="12"/>
        <v>TO variant allowances</v>
      </c>
      <c r="BC177" s="44" t="str">
        <f t="shared" si="13"/>
        <v>Variant allowances percentage allocation</v>
      </c>
    </row>
    <row r="178" spans="5:55">
      <c r="E178" s="212" t="str">
        <f>NGT_TO!E253</f>
        <v>Bacton terminal site redevelopment Price Control Deliverable</v>
      </c>
      <c r="G178" s="43" t="s">
        <v>33</v>
      </c>
      <c r="H178" s="43" t="str">
        <f>NGT_TO!H253</f>
        <v>Other capex</v>
      </c>
      <c r="AU178" s="175">
        <f>NGT_TO!AU253</f>
        <v>0</v>
      </c>
      <c r="AV178" s="56">
        <f>NGT_TO!AV253</f>
        <v>0</v>
      </c>
      <c r="AW178" s="56">
        <f>NGT_TO!AW253</f>
        <v>0</v>
      </c>
      <c r="AX178" s="56">
        <f>NGT_TO!AX253</f>
        <v>0</v>
      </c>
      <c r="AY178" s="186">
        <f>NGT_TO!AY253</f>
        <v>0</v>
      </c>
      <c r="AZ178"/>
      <c r="BA178" s="44" t="str">
        <f t="shared" ca="1" si="14"/>
        <v>VariantAllowances</v>
      </c>
      <c r="BB178" s="44" t="str">
        <f t="shared" si="12"/>
        <v>TO variant allowances</v>
      </c>
      <c r="BC178" s="44" t="str">
        <f t="shared" si="13"/>
        <v>Variant allowances percentage allocation</v>
      </c>
    </row>
    <row r="179" spans="5:55">
      <c r="E179" s="212" t="str">
        <f>NGT_TO!E254</f>
        <v>Bacton terminal site redevelopment Price Control Deliverable</v>
      </c>
      <c r="G179" s="43" t="s">
        <v>33</v>
      </c>
      <c r="H179" s="43" t="str">
        <f>NGT_TO!H254</f>
        <v>Non-operational capex</v>
      </c>
      <c r="AU179" s="175">
        <f>NGT_TO!AU254</f>
        <v>0</v>
      </c>
      <c r="AV179" s="56">
        <f>NGT_TO!AV254</f>
        <v>0</v>
      </c>
      <c r="AW179" s="56">
        <f>NGT_TO!AW254</f>
        <v>0</v>
      </c>
      <c r="AX179" s="56">
        <f>NGT_TO!AX254</f>
        <v>0</v>
      </c>
      <c r="AY179" s="186">
        <f>NGT_TO!AY254</f>
        <v>0</v>
      </c>
      <c r="AZ179"/>
      <c r="BA179" s="44" t="str">
        <f t="shared" ca="1" si="14"/>
        <v>VariantAllowances</v>
      </c>
      <c r="BB179" s="44" t="str">
        <f t="shared" si="12"/>
        <v>TO variant allowances</v>
      </c>
      <c r="BC179" s="44" t="str">
        <f t="shared" si="13"/>
        <v>Variant allowances percentage allocation</v>
      </c>
    </row>
    <row r="180" spans="5:55">
      <c r="E180" s="212" t="str">
        <f>NGT_TO!E255</f>
        <v>Bacton terminal site redevelopment Price Control Deliverable</v>
      </c>
      <c r="G180" s="43" t="s">
        <v>33</v>
      </c>
      <c r="H180" s="43" t="str">
        <f>NGT_TO!H255</f>
        <v>Non-load (opex)</v>
      </c>
      <c r="AU180" s="175">
        <f>NGT_TO!AU255</f>
        <v>0</v>
      </c>
      <c r="AV180" s="56">
        <f>NGT_TO!AV255</f>
        <v>0</v>
      </c>
      <c r="AW180" s="56">
        <f>NGT_TO!AW255</f>
        <v>0</v>
      </c>
      <c r="AX180" s="56">
        <f>NGT_TO!AX255</f>
        <v>0</v>
      </c>
      <c r="AY180" s="186">
        <f>NGT_TO!AY255</f>
        <v>0</v>
      </c>
      <c r="AZ180"/>
      <c r="BA180" s="44" t="str">
        <f t="shared" ca="1" si="14"/>
        <v>VariantAllowances</v>
      </c>
      <c r="BB180" s="44" t="str">
        <f t="shared" si="12"/>
        <v>TO variant allowances</v>
      </c>
      <c r="BC180" s="44" t="str">
        <f t="shared" si="13"/>
        <v>Variant allowances percentage allocation</v>
      </c>
    </row>
    <row r="181" spans="5:55">
      <c r="E181" s="201" t="str">
        <f>NGT_TO!E256</f>
        <v>Bacton terminal site redevelopment Price Control Deliverable</v>
      </c>
      <c r="F181" s="225"/>
      <c r="G181" s="202" t="s">
        <v>33</v>
      </c>
      <c r="H181" s="202" t="str">
        <f>NGT_TO!H256</f>
        <v>Indirects (opex)</v>
      </c>
      <c r="I181" s="202"/>
      <c r="J181" s="202"/>
      <c r="K181" s="202"/>
      <c r="L181" s="202"/>
      <c r="M181" s="202"/>
      <c r="N181" s="202"/>
      <c r="O181" s="202"/>
      <c r="P181" s="202"/>
      <c r="Q181" s="202"/>
      <c r="R181" s="202"/>
      <c r="S181" s="202"/>
      <c r="T181" s="202"/>
      <c r="U181" s="202"/>
      <c r="V181" s="202"/>
      <c r="W181" s="202"/>
      <c r="X181" s="202"/>
      <c r="Y181" s="202"/>
      <c r="Z181" s="202"/>
      <c r="AA181" s="202"/>
      <c r="AB181" s="202"/>
      <c r="AC181" s="202"/>
      <c r="AD181" s="202"/>
      <c r="AE181" s="202"/>
      <c r="AF181" s="202"/>
      <c r="AG181" s="202"/>
      <c r="AH181" s="202"/>
      <c r="AI181" s="202"/>
      <c r="AJ181" s="202"/>
      <c r="AK181" s="202"/>
      <c r="AL181" s="202"/>
      <c r="AM181" s="202"/>
      <c r="AN181" s="202"/>
      <c r="AO181" s="202"/>
      <c r="AP181" s="202"/>
      <c r="AQ181" s="202"/>
      <c r="AR181" s="202"/>
      <c r="AS181" s="202"/>
      <c r="AT181" s="203"/>
      <c r="AU181" s="226">
        <f>NGT_TO!AU256</f>
        <v>0</v>
      </c>
      <c r="AV181" s="227">
        <f>NGT_TO!AV256</f>
        <v>0</v>
      </c>
      <c r="AW181" s="227">
        <f>NGT_TO!AW256</f>
        <v>0</v>
      </c>
      <c r="AX181" s="227">
        <f>NGT_TO!AX256</f>
        <v>0</v>
      </c>
      <c r="AY181" s="228">
        <f>NGT_TO!AY256</f>
        <v>0</v>
      </c>
      <c r="AZ181"/>
      <c r="BA181" s="44" t="str">
        <f t="shared" ca="1" si="14"/>
        <v>VariantAllowances</v>
      </c>
      <c r="BB181" s="44" t="str">
        <f t="shared" si="12"/>
        <v>TO variant allowances</v>
      </c>
      <c r="BC181" s="44" t="str">
        <f t="shared" si="13"/>
        <v>Variant allowances percentage allocation</v>
      </c>
    </row>
    <row r="182" spans="5:55">
      <c r="E182" s="195" t="str">
        <f>NGT_TO!E257</f>
        <v>Compressor Emissions Price Control Deliverable</v>
      </c>
      <c r="F182" s="221"/>
      <c r="G182" s="196" t="s">
        <v>33</v>
      </c>
      <c r="H182" s="196" t="str">
        <f>NGT_TO!H257</f>
        <v>Load related capex</v>
      </c>
      <c r="I182" s="196"/>
      <c r="J182" s="196"/>
      <c r="K182" s="196"/>
      <c r="L182" s="196"/>
      <c r="M182" s="196"/>
      <c r="N182" s="196"/>
      <c r="O182" s="196"/>
      <c r="P182" s="196"/>
      <c r="Q182" s="196"/>
      <c r="R182" s="196"/>
      <c r="S182" s="196"/>
      <c r="T182" s="196"/>
      <c r="U182" s="196"/>
      <c r="V182" s="196"/>
      <c r="W182" s="196"/>
      <c r="X182" s="196"/>
      <c r="Y182" s="196"/>
      <c r="Z182" s="196"/>
      <c r="AA182" s="196"/>
      <c r="AB182" s="196"/>
      <c r="AC182" s="196"/>
      <c r="AD182" s="196"/>
      <c r="AE182" s="196"/>
      <c r="AF182" s="196"/>
      <c r="AG182" s="196"/>
      <c r="AH182" s="196"/>
      <c r="AI182" s="196"/>
      <c r="AJ182" s="196"/>
      <c r="AK182" s="196"/>
      <c r="AL182" s="196"/>
      <c r="AM182" s="196"/>
      <c r="AN182" s="196"/>
      <c r="AO182" s="196"/>
      <c r="AP182" s="196"/>
      <c r="AQ182" s="196"/>
      <c r="AR182" s="196"/>
      <c r="AS182" s="196"/>
      <c r="AT182" s="197"/>
      <c r="AU182" s="222">
        <f>NGT_TO!AU257</f>
        <v>0</v>
      </c>
      <c r="AV182" s="223">
        <f>NGT_TO!AV257</f>
        <v>0</v>
      </c>
      <c r="AW182" s="223">
        <f>NGT_TO!AW257</f>
        <v>0</v>
      </c>
      <c r="AX182" s="223">
        <f>NGT_TO!AX257</f>
        <v>0</v>
      </c>
      <c r="AY182" s="224">
        <f>NGT_TO!AY257</f>
        <v>0</v>
      </c>
      <c r="AZ182"/>
      <c r="BA182" s="44" t="str">
        <f t="shared" ca="1" si="14"/>
        <v>VariantAllowances</v>
      </c>
      <c r="BB182" s="44" t="str">
        <f t="shared" si="12"/>
        <v>TO variant allowances</v>
      </c>
      <c r="BC182" s="44" t="str">
        <f t="shared" si="13"/>
        <v>Variant allowances percentage allocation</v>
      </c>
    </row>
    <row r="183" spans="5:55">
      <c r="E183" s="212" t="str">
        <f>NGT_TO!E258</f>
        <v>Compressor Emissions Price Control Deliverable</v>
      </c>
      <c r="G183" s="43" t="s">
        <v>33</v>
      </c>
      <c r="H183" s="43" t="str">
        <f>NGT_TO!H258</f>
        <v>Asset replacement capex</v>
      </c>
      <c r="AU183" s="175">
        <f>NGT_TO!AU258</f>
        <v>0</v>
      </c>
      <c r="AV183" s="56">
        <f>NGT_TO!AV258</f>
        <v>0</v>
      </c>
      <c r="AW183" s="56">
        <f>NGT_TO!AW258</f>
        <v>0</v>
      </c>
      <c r="AX183" s="56">
        <f>NGT_TO!AX258</f>
        <v>0</v>
      </c>
      <c r="AY183" s="186">
        <f>NGT_TO!AY258</f>
        <v>0</v>
      </c>
      <c r="AZ183"/>
      <c r="BA183" s="44" t="str">
        <f t="shared" ca="1" si="14"/>
        <v>VariantAllowances</v>
      </c>
      <c r="BB183" s="44" t="str">
        <f t="shared" si="12"/>
        <v>TO variant allowances</v>
      </c>
      <c r="BC183" s="44" t="str">
        <f t="shared" si="13"/>
        <v>Variant allowances percentage allocation</v>
      </c>
    </row>
    <row r="184" spans="5:55">
      <c r="E184" s="212" t="str">
        <f>NGT_TO!E259</f>
        <v>Compressor Emissions Price Control Deliverable</v>
      </c>
      <c r="G184" s="43" t="s">
        <v>33</v>
      </c>
      <c r="H184" s="43" t="str">
        <f>NGT_TO!H259</f>
        <v>Other capex</v>
      </c>
      <c r="AU184" s="175">
        <f>NGT_TO!AU259</f>
        <v>0</v>
      </c>
      <c r="AV184" s="56">
        <f>NGT_TO!AV259</f>
        <v>0</v>
      </c>
      <c r="AW184" s="56">
        <f>NGT_TO!AW259</f>
        <v>0</v>
      </c>
      <c r="AX184" s="56">
        <f>NGT_TO!AX259</f>
        <v>0</v>
      </c>
      <c r="AY184" s="186">
        <f>NGT_TO!AY259</f>
        <v>0</v>
      </c>
      <c r="AZ184"/>
      <c r="BA184" s="44" t="str">
        <f t="shared" ca="1" si="14"/>
        <v>VariantAllowances</v>
      </c>
      <c r="BB184" s="44" t="str">
        <f t="shared" si="12"/>
        <v>TO variant allowances</v>
      </c>
      <c r="BC184" s="44" t="str">
        <f t="shared" si="13"/>
        <v>Variant allowances percentage allocation</v>
      </c>
    </row>
    <row r="185" spans="5:55">
      <c r="E185" s="212" t="str">
        <f>NGT_TO!E260</f>
        <v>Compressor Emissions Price Control Deliverable</v>
      </c>
      <c r="G185" s="43" t="s">
        <v>33</v>
      </c>
      <c r="H185" s="43" t="str">
        <f>NGT_TO!H260</f>
        <v>Non-operational capex</v>
      </c>
      <c r="AU185" s="175">
        <f>NGT_TO!AU260</f>
        <v>0</v>
      </c>
      <c r="AV185" s="56">
        <f>NGT_TO!AV260</f>
        <v>0</v>
      </c>
      <c r="AW185" s="56">
        <f>NGT_TO!AW260</f>
        <v>0</v>
      </c>
      <c r="AX185" s="56">
        <f>NGT_TO!AX260</f>
        <v>0</v>
      </c>
      <c r="AY185" s="186">
        <f>NGT_TO!AY260</f>
        <v>0</v>
      </c>
      <c r="AZ185"/>
      <c r="BA185" s="44" t="str">
        <f t="shared" ca="1" si="14"/>
        <v>VariantAllowances</v>
      </c>
      <c r="BB185" s="44" t="str">
        <f t="shared" si="12"/>
        <v>TO variant allowances</v>
      </c>
      <c r="BC185" s="44" t="str">
        <f t="shared" si="13"/>
        <v>Variant allowances percentage allocation</v>
      </c>
    </row>
    <row r="186" spans="5:55">
      <c r="E186" s="212" t="str">
        <f>NGT_TO!E261</f>
        <v>Compressor Emissions Price Control Deliverable</v>
      </c>
      <c r="G186" s="43" t="s">
        <v>33</v>
      </c>
      <c r="H186" s="43" t="str">
        <f>NGT_TO!H261</f>
        <v>Non-load (opex)</v>
      </c>
      <c r="AU186" s="175">
        <f>NGT_TO!AU261</f>
        <v>0</v>
      </c>
      <c r="AV186" s="56">
        <f>NGT_TO!AV261</f>
        <v>0</v>
      </c>
      <c r="AW186" s="56">
        <f>NGT_TO!AW261</f>
        <v>0</v>
      </c>
      <c r="AX186" s="56">
        <f>NGT_TO!AX261</f>
        <v>0</v>
      </c>
      <c r="AY186" s="186">
        <f>NGT_TO!AY261</f>
        <v>0</v>
      </c>
      <c r="AZ186"/>
      <c r="BA186" s="44" t="str">
        <f t="shared" ca="1" si="14"/>
        <v>VariantAllowances</v>
      </c>
      <c r="BB186" s="44" t="str">
        <f t="shared" si="12"/>
        <v>TO variant allowances</v>
      </c>
      <c r="BC186" s="44" t="str">
        <f t="shared" si="13"/>
        <v>Variant allowances percentage allocation</v>
      </c>
    </row>
    <row r="187" spans="5:55">
      <c r="E187" s="201" t="str">
        <f>NGT_TO!E262</f>
        <v>Compressor Emissions Price Control Deliverable</v>
      </c>
      <c r="F187" s="225"/>
      <c r="G187" s="202" t="s">
        <v>33</v>
      </c>
      <c r="H187" s="202" t="str">
        <f>NGT_TO!H262</f>
        <v>Indirects (opex)</v>
      </c>
      <c r="I187" s="202"/>
      <c r="J187" s="202"/>
      <c r="K187" s="202"/>
      <c r="L187" s="202"/>
      <c r="M187" s="202"/>
      <c r="N187" s="202"/>
      <c r="O187" s="202"/>
      <c r="P187" s="202"/>
      <c r="Q187" s="202"/>
      <c r="R187" s="202"/>
      <c r="S187" s="202"/>
      <c r="T187" s="202"/>
      <c r="U187" s="202"/>
      <c r="V187" s="202"/>
      <c r="W187" s="202"/>
      <c r="X187" s="202"/>
      <c r="Y187" s="202"/>
      <c r="Z187" s="202"/>
      <c r="AA187" s="202"/>
      <c r="AB187" s="202"/>
      <c r="AC187" s="202"/>
      <c r="AD187" s="202"/>
      <c r="AE187" s="202"/>
      <c r="AF187" s="202"/>
      <c r="AG187" s="202"/>
      <c r="AH187" s="202"/>
      <c r="AI187" s="202"/>
      <c r="AJ187" s="202"/>
      <c r="AK187" s="202"/>
      <c r="AL187" s="202"/>
      <c r="AM187" s="202"/>
      <c r="AN187" s="202"/>
      <c r="AO187" s="202"/>
      <c r="AP187" s="202"/>
      <c r="AQ187" s="202"/>
      <c r="AR187" s="202"/>
      <c r="AS187" s="202"/>
      <c r="AT187" s="203"/>
      <c r="AU187" s="226">
        <f>NGT_TO!AU262</f>
        <v>0</v>
      </c>
      <c r="AV187" s="227">
        <f>NGT_TO!AV262</f>
        <v>0</v>
      </c>
      <c r="AW187" s="227">
        <f>NGT_TO!AW262</f>
        <v>0</v>
      </c>
      <c r="AX187" s="227">
        <f>NGT_TO!AX262</f>
        <v>0</v>
      </c>
      <c r="AY187" s="228">
        <f>NGT_TO!AY262</f>
        <v>0</v>
      </c>
      <c r="AZ187"/>
      <c r="BA187" s="44" t="str">
        <f t="shared" ca="1" si="14"/>
        <v>VariantAllowances</v>
      </c>
      <c r="BB187" s="44" t="str">
        <f t="shared" si="12"/>
        <v>TO variant allowances</v>
      </c>
      <c r="BC187" s="44" t="str">
        <f t="shared" si="13"/>
        <v>Variant allowances percentage allocation</v>
      </c>
    </row>
    <row r="188" spans="5:55">
      <c r="E188" s="195" t="str">
        <f>NGT_TO!E263</f>
        <v>Funded Incremental Obligated Capacity Price Control Deliverable</v>
      </c>
      <c r="F188" s="221"/>
      <c r="G188" s="196" t="s">
        <v>33</v>
      </c>
      <c r="H188" s="196" t="str">
        <f>NGT_TO!H263</f>
        <v>Load related capex</v>
      </c>
      <c r="I188" s="196"/>
      <c r="J188" s="196"/>
      <c r="K188" s="196"/>
      <c r="L188" s="196"/>
      <c r="M188" s="196"/>
      <c r="N188" s="196"/>
      <c r="O188" s="196"/>
      <c r="P188" s="196"/>
      <c r="Q188" s="196"/>
      <c r="R188" s="196"/>
      <c r="S188" s="196"/>
      <c r="T188" s="196"/>
      <c r="U188" s="196"/>
      <c r="V188" s="196"/>
      <c r="W188" s="196"/>
      <c r="X188" s="196"/>
      <c r="Y188" s="196"/>
      <c r="Z188" s="196"/>
      <c r="AA188" s="196"/>
      <c r="AB188" s="196"/>
      <c r="AC188" s="196"/>
      <c r="AD188" s="196"/>
      <c r="AE188" s="196"/>
      <c r="AF188" s="196"/>
      <c r="AG188" s="196"/>
      <c r="AH188" s="196"/>
      <c r="AI188" s="196"/>
      <c r="AJ188" s="196"/>
      <c r="AK188" s="196"/>
      <c r="AL188" s="196"/>
      <c r="AM188" s="196"/>
      <c r="AN188" s="196"/>
      <c r="AO188" s="196"/>
      <c r="AP188" s="196"/>
      <c r="AQ188" s="196"/>
      <c r="AR188" s="196"/>
      <c r="AS188" s="196"/>
      <c r="AT188" s="197"/>
      <c r="AU188" s="222">
        <f>NGT_TO!AU263</f>
        <v>0</v>
      </c>
      <c r="AV188" s="223">
        <f>NGT_TO!AV263</f>
        <v>0</v>
      </c>
      <c r="AW188" s="223">
        <f>NGT_TO!AW263</f>
        <v>0</v>
      </c>
      <c r="AX188" s="223">
        <f>NGT_TO!AX263</f>
        <v>0</v>
      </c>
      <c r="AY188" s="224">
        <f>NGT_TO!AY263</f>
        <v>0</v>
      </c>
      <c r="AZ188"/>
      <c r="BA188" s="44" t="str">
        <f t="shared" ca="1" si="14"/>
        <v>VariantAllowances</v>
      </c>
      <c r="BB188" s="44" t="str">
        <f t="shared" si="12"/>
        <v>TO variant allowances</v>
      </c>
      <c r="BC188" s="44" t="str">
        <f t="shared" si="13"/>
        <v>Variant allowances percentage allocation</v>
      </c>
    </row>
    <row r="189" spans="5:55">
      <c r="E189" s="212" t="str">
        <f>NGT_TO!E264</f>
        <v>Funded Incremental Obligated Capacity Price Control Deliverable</v>
      </c>
      <c r="G189" s="43" t="s">
        <v>33</v>
      </c>
      <c r="H189" s="43" t="str">
        <f>NGT_TO!H264</f>
        <v>Asset replacement capex</v>
      </c>
      <c r="AU189" s="175">
        <f>NGT_TO!AU264</f>
        <v>0</v>
      </c>
      <c r="AV189" s="56">
        <f>NGT_TO!AV264</f>
        <v>0</v>
      </c>
      <c r="AW189" s="56">
        <f>NGT_TO!AW264</f>
        <v>0</v>
      </c>
      <c r="AX189" s="56">
        <f>NGT_TO!AX264</f>
        <v>0</v>
      </c>
      <c r="AY189" s="186">
        <f>NGT_TO!AY264</f>
        <v>0</v>
      </c>
      <c r="AZ189"/>
      <c r="BA189" s="44" t="str">
        <f t="shared" ca="1" si="14"/>
        <v>VariantAllowances</v>
      </c>
      <c r="BB189" s="44" t="str">
        <f t="shared" si="12"/>
        <v>TO variant allowances</v>
      </c>
      <c r="BC189" s="44" t="str">
        <f t="shared" si="13"/>
        <v>Variant allowances percentage allocation</v>
      </c>
    </row>
    <row r="190" spans="5:55">
      <c r="E190" s="212" t="str">
        <f>NGT_TO!E265</f>
        <v>Funded Incremental Obligated Capacity Price Control Deliverable</v>
      </c>
      <c r="G190" s="43" t="s">
        <v>33</v>
      </c>
      <c r="H190" s="43" t="str">
        <f>NGT_TO!H265</f>
        <v>Other capex</v>
      </c>
      <c r="AU190" s="175">
        <f>NGT_TO!AU265</f>
        <v>0</v>
      </c>
      <c r="AV190" s="56">
        <f>NGT_TO!AV265</f>
        <v>0</v>
      </c>
      <c r="AW190" s="56">
        <f>NGT_TO!AW265</f>
        <v>0</v>
      </c>
      <c r="AX190" s="56">
        <f>NGT_TO!AX265</f>
        <v>0</v>
      </c>
      <c r="AY190" s="186">
        <f>NGT_TO!AY265</f>
        <v>0</v>
      </c>
      <c r="AZ190"/>
      <c r="BA190" s="44" t="str">
        <f t="shared" ca="1" si="14"/>
        <v>VariantAllowances</v>
      </c>
      <c r="BB190" s="44" t="str">
        <f t="shared" si="12"/>
        <v>TO variant allowances</v>
      </c>
      <c r="BC190" s="44" t="str">
        <f t="shared" si="13"/>
        <v>Variant allowances percentage allocation</v>
      </c>
    </row>
    <row r="191" spans="5:55">
      <c r="E191" s="212" t="str">
        <f>NGT_TO!E266</f>
        <v>Funded Incremental Obligated Capacity Price Control Deliverable</v>
      </c>
      <c r="G191" s="43" t="s">
        <v>33</v>
      </c>
      <c r="H191" s="43" t="str">
        <f>NGT_TO!H266</f>
        <v>Non-operational capex</v>
      </c>
      <c r="AU191" s="175">
        <f>NGT_TO!AU266</f>
        <v>0</v>
      </c>
      <c r="AV191" s="56">
        <f>NGT_TO!AV266</f>
        <v>0</v>
      </c>
      <c r="AW191" s="56">
        <f>NGT_TO!AW266</f>
        <v>0</v>
      </c>
      <c r="AX191" s="56">
        <f>NGT_TO!AX266</f>
        <v>0</v>
      </c>
      <c r="AY191" s="186">
        <f>NGT_TO!AY266</f>
        <v>0</v>
      </c>
      <c r="AZ191"/>
      <c r="BA191" s="44" t="str">
        <f t="shared" ca="1" si="14"/>
        <v>VariantAllowances</v>
      </c>
      <c r="BB191" s="44" t="str">
        <f t="shared" si="12"/>
        <v>TO variant allowances</v>
      </c>
      <c r="BC191" s="44" t="str">
        <f t="shared" si="13"/>
        <v>Variant allowances percentage allocation</v>
      </c>
    </row>
    <row r="192" spans="5:55">
      <c r="E192" s="212" t="str">
        <f>NGT_TO!E267</f>
        <v>Funded Incremental Obligated Capacity Price Control Deliverable</v>
      </c>
      <c r="G192" s="43" t="s">
        <v>33</v>
      </c>
      <c r="H192" s="43" t="str">
        <f>NGT_TO!H267</f>
        <v>Non-load (opex)</v>
      </c>
      <c r="AU192" s="175">
        <f>NGT_TO!AU267</f>
        <v>0</v>
      </c>
      <c r="AV192" s="56">
        <f>NGT_TO!AV267</f>
        <v>0</v>
      </c>
      <c r="AW192" s="56">
        <f>NGT_TO!AW267</f>
        <v>0</v>
      </c>
      <c r="AX192" s="56">
        <f>NGT_TO!AX267</f>
        <v>0</v>
      </c>
      <c r="AY192" s="186">
        <f>NGT_TO!AY267</f>
        <v>0</v>
      </c>
      <c r="AZ192"/>
      <c r="BA192" s="44" t="str">
        <f t="shared" ca="1" si="14"/>
        <v>VariantAllowances</v>
      </c>
      <c r="BB192" s="44" t="str">
        <f t="shared" si="12"/>
        <v>TO variant allowances</v>
      </c>
      <c r="BC192" s="44" t="str">
        <f t="shared" si="13"/>
        <v>Variant allowances percentage allocation</v>
      </c>
    </row>
    <row r="193" spans="5:55">
      <c r="E193" s="201" t="str">
        <f>NGT_TO!E268</f>
        <v>Funded Incremental Obligated Capacity Price Control Deliverable</v>
      </c>
      <c r="F193" s="225"/>
      <c r="G193" s="202" t="s">
        <v>33</v>
      </c>
      <c r="H193" s="202" t="str">
        <f>NGT_TO!H268</f>
        <v>Indirects (opex)</v>
      </c>
      <c r="I193" s="202"/>
      <c r="J193" s="202"/>
      <c r="K193" s="202"/>
      <c r="L193" s="202"/>
      <c r="M193" s="202"/>
      <c r="N193" s="202"/>
      <c r="O193" s="202"/>
      <c r="P193" s="202"/>
      <c r="Q193" s="202"/>
      <c r="R193" s="202"/>
      <c r="S193" s="202"/>
      <c r="T193" s="202"/>
      <c r="U193" s="202"/>
      <c r="V193" s="202"/>
      <c r="W193" s="202"/>
      <c r="X193" s="202"/>
      <c r="Y193" s="202"/>
      <c r="Z193" s="202"/>
      <c r="AA193" s="202"/>
      <c r="AB193" s="202"/>
      <c r="AC193" s="202"/>
      <c r="AD193" s="202"/>
      <c r="AE193" s="202"/>
      <c r="AF193" s="202"/>
      <c r="AG193" s="202"/>
      <c r="AH193" s="202"/>
      <c r="AI193" s="202"/>
      <c r="AJ193" s="202"/>
      <c r="AK193" s="202"/>
      <c r="AL193" s="202"/>
      <c r="AM193" s="202"/>
      <c r="AN193" s="202"/>
      <c r="AO193" s="202"/>
      <c r="AP193" s="202"/>
      <c r="AQ193" s="202"/>
      <c r="AR193" s="202"/>
      <c r="AS193" s="202"/>
      <c r="AT193" s="203"/>
      <c r="AU193" s="226">
        <f>NGT_TO!AU268</f>
        <v>0</v>
      </c>
      <c r="AV193" s="227">
        <f>NGT_TO!AV268</f>
        <v>0</v>
      </c>
      <c r="AW193" s="227">
        <f>NGT_TO!AW268</f>
        <v>0</v>
      </c>
      <c r="AX193" s="227">
        <f>NGT_TO!AX268</f>
        <v>0</v>
      </c>
      <c r="AY193" s="228">
        <f>NGT_TO!AY268</f>
        <v>0</v>
      </c>
      <c r="AZ193"/>
      <c r="BA193" s="44" t="str">
        <f t="shared" ca="1" si="14"/>
        <v>VariantAllowances</v>
      </c>
      <c r="BB193" s="44" t="str">
        <f t="shared" si="12"/>
        <v>TO variant allowances</v>
      </c>
      <c r="BC193" s="44" t="str">
        <f t="shared" si="13"/>
        <v>Variant allowances percentage allocation</v>
      </c>
    </row>
    <row r="194" spans="5:55">
      <c r="E194" s="195" t="str">
        <f>NGT_TO!E269</f>
        <v>Funded Incremental Obligated Capacity Price Control Deliverable - Re-Opener Element</v>
      </c>
      <c r="F194" s="221"/>
      <c r="G194" s="196" t="s">
        <v>33</v>
      </c>
      <c r="H194" s="196" t="str">
        <f>NGT_TO!H269</f>
        <v>Load related capex</v>
      </c>
      <c r="I194" s="196"/>
      <c r="J194" s="196"/>
      <c r="K194" s="196"/>
      <c r="L194" s="196"/>
      <c r="M194" s="196"/>
      <c r="N194" s="196"/>
      <c r="O194" s="196"/>
      <c r="P194" s="196"/>
      <c r="Q194" s="196"/>
      <c r="R194" s="196"/>
      <c r="S194" s="196"/>
      <c r="T194" s="196"/>
      <c r="U194" s="196"/>
      <c r="V194" s="196"/>
      <c r="W194" s="196"/>
      <c r="X194" s="196"/>
      <c r="Y194" s="196"/>
      <c r="Z194" s="196"/>
      <c r="AA194" s="196"/>
      <c r="AB194" s="196"/>
      <c r="AC194" s="196"/>
      <c r="AD194" s="196"/>
      <c r="AE194" s="196"/>
      <c r="AF194" s="196"/>
      <c r="AG194" s="196"/>
      <c r="AH194" s="196"/>
      <c r="AI194" s="196"/>
      <c r="AJ194" s="196"/>
      <c r="AK194" s="196"/>
      <c r="AL194" s="196"/>
      <c r="AM194" s="196"/>
      <c r="AN194" s="196"/>
      <c r="AO194" s="196"/>
      <c r="AP194" s="196"/>
      <c r="AQ194" s="196"/>
      <c r="AR194" s="196"/>
      <c r="AS194" s="196"/>
      <c r="AT194" s="197"/>
      <c r="AU194" s="222">
        <f>NGT_TO!AU269</f>
        <v>0</v>
      </c>
      <c r="AV194" s="223">
        <f>NGT_TO!AV269</f>
        <v>0</v>
      </c>
      <c r="AW194" s="223">
        <f>NGT_TO!AW269</f>
        <v>0</v>
      </c>
      <c r="AX194" s="223">
        <f>NGT_TO!AX269</f>
        <v>0</v>
      </c>
      <c r="AY194" s="224">
        <f>NGT_TO!AY269</f>
        <v>0</v>
      </c>
      <c r="AZ194"/>
      <c r="BA194" s="44" t="str">
        <f t="shared" ca="1" si="14"/>
        <v>VariantAllowances</v>
      </c>
      <c r="BB194" s="44" t="str">
        <f t="shared" si="12"/>
        <v>TO variant allowances</v>
      </c>
      <c r="BC194" s="44" t="str">
        <f t="shared" si="13"/>
        <v>Variant allowances percentage allocation</v>
      </c>
    </row>
    <row r="195" spans="5:55">
      <c r="E195" s="212" t="str">
        <f>NGT_TO!E270</f>
        <v>Funded Incremental Obligated Capacity Price Control Deliverable - Re-Opener Element</v>
      </c>
      <c r="G195" s="43" t="s">
        <v>33</v>
      </c>
      <c r="H195" s="43" t="str">
        <f>NGT_TO!H270</f>
        <v>Asset replacement capex</v>
      </c>
      <c r="AU195" s="175">
        <f>NGT_TO!AU270</f>
        <v>0</v>
      </c>
      <c r="AV195" s="56">
        <f>NGT_TO!AV270</f>
        <v>0</v>
      </c>
      <c r="AW195" s="56">
        <f>NGT_TO!AW270</f>
        <v>0</v>
      </c>
      <c r="AX195" s="56">
        <f>NGT_TO!AX270</f>
        <v>0</v>
      </c>
      <c r="AY195" s="186">
        <f>NGT_TO!AY270</f>
        <v>0</v>
      </c>
      <c r="AZ195"/>
      <c r="BA195" s="44" t="str">
        <f t="shared" ca="1" si="14"/>
        <v>VariantAllowances</v>
      </c>
      <c r="BB195" s="44" t="str">
        <f t="shared" si="12"/>
        <v>TO variant allowances</v>
      </c>
      <c r="BC195" s="44" t="str">
        <f t="shared" si="13"/>
        <v>Variant allowances percentage allocation</v>
      </c>
    </row>
    <row r="196" spans="5:55">
      <c r="E196" s="212" t="str">
        <f>NGT_TO!E271</f>
        <v>Funded Incremental Obligated Capacity Price Control Deliverable - Re-Opener Element</v>
      </c>
      <c r="G196" s="43" t="s">
        <v>33</v>
      </c>
      <c r="H196" s="43" t="str">
        <f>NGT_TO!H271</f>
        <v>Other capex</v>
      </c>
      <c r="AU196" s="175">
        <f>NGT_TO!AU271</f>
        <v>0</v>
      </c>
      <c r="AV196" s="56">
        <f>NGT_TO!AV271</f>
        <v>0</v>
      </c>
      <c r="AW196" s="56">
        <f>NGT_TO!AW271</f>
        <v>0</v>
      </c>
      <c r="AX196" s="56">
        <f>NGT_TO!AX271</f>
        <v>0</v>
      </c>
      <c r="AY196" s="186">
        <f>NGT_TO!AY271</f>
        <v>0</v>
      </c>
      <c r="AZ196"/>
      <c r="BA196" s="44" t="str">
        <f t="shared" ca="1" si="14"/>
        <v>VariantAllowances</v>
      </c>
      <c r="BB196" s="44" t="str">
        <f t="shared" si="12"/>
        <v>TO variant allowances</v>
      </c>
      <c r="BC196" s="44" t="str">
        <f t="shared" si="13"/>
        <v>Variant allowances percentage allocation</v>
      </c>
    </row>
    <row r="197" spans="5:55">
      <c r="E197" s="212" t="str">
        <f>NGT_TO!E272</f>
        <v>Funded Incremental Obligated Capacity Price Control Deliverable - Re-Opener Element</v>
      </c>
      <c r="G197" s="43" t="s">
        <v>33</v>
      </c>
      <c r="H197" s="43" t="str">
        <f>NGT_TO!H272</f>
        <v>Non-operational capex</v>
      </c>
      <c r="AU197" s="175">
        <f>NGT_TO!AU272</f>
        <v>0</v>
      </c>
      <c r="AV197" s="56">
        <f>NGT_TO!AV272</f>
        <v>0</v>
      </c>
      <c r="AW197" s="56">
        <f>NGT_TO!AW272</f>
        <v>0</v>
      </c>
      <c r="AX197" s="56">
        <f>NGT_TO!AX272</f>
        <v>0</v>
      </c>
      <c r="AY197" s="186">
        <f>NGT_TO!AY272</f>
        <v>0</v>
      </c>
      <c r="AZ197"/>
      <c r="BA197" s="44" t="str">
        <f t="shared" ca="1" si="14"/>
        <v>VariantAllowances</v>
      </c>
      <c r="BB197" s="44" t="str">
        <f t="shared" si="12"/>
        <v>TO variant allowances</v>
      </c>
      <c r="BC197" s="44" t="str">
        <f t="shared" si="13"/>
        <v>Variant allowances percentage allocation</v>
      </c>
    </row>
    <row r="198" spans="5:55">
      <c r="E198" s="212" t="str">
        <f>NGT_TO!E273</f>
        <v>Funded Incremental Obligated Capacity Price Control Deliverable - Re-Opener Element</v>
      </c>
      <c r="G198" s="43" t="s">
        <v>33</v>
      </c>
      <c r="H198" s="43" t="str">
        <f>NGT_TO!H273</f>
        <v>Non-load (opex)</v>
      </c>
      <c r="AU198" s="175">
        <f>NGT_TO!AU273</f>
        <v>0</v>
      </c>
      <c r="AV198" s="56">
        <f>NGT_TO!AV273</f>
        <v>0</v>
      </c>
      <c r="AW198" s="56">
        <f>NGT_TO!AW273</f>
        <v>0</v>
      </c>
      <c r="AX198" s="56">
        <f>NGT_TO!AX273</f>
        <v>0</v>
      </c>
      <c r="AY198" s="186">
        <f>NGT_TO!AY273</f>
        <v>0</v>
      </c>
      <c r="AZ198"/>
      <c r="BA198" s="44" t="str">
        <f t="shared" ca="1" si="14"/>
        <v>VariantAllowances</v>
      </c>
      <c r="BB198" s="44" t="str">
        <f t="shared" si="12"/>
        <v>TO variant allowances</v>
      </c>
      <c r="BC198" s="44" t="str">
        <f t="shared" si="13"/>
        <v>Variant allowances percentage allocation</v>
      </c>
    </row>
    <row r="199" spans="5:55">
      <c r="E199" s="201" t="str">
        <f>NGT_TO!E274</f>
        <v>Funded Incremental Obligated Capacity Price Control Deliverable - Re-Opener Element</v>
      </c>
      <c r="F199" s="225"/>
      <c r="G199" s="202" t="s">
        <v>33</v>
      </c>
      <c r="H199" s="202" t="str">
        <f>NGT_TO!H274</f>
        <v>Indirects (opex)</v>
      </c>
      <c r="I199" s="202"/>
      <c r="J199" s="202"/>
      <c r="K199" s="202"/>
      <c r="L199" s="202"/>
      <c r="M199" s="202"/>
      <c r="N199" s="202"/>
      <c r="O199" s="202"/>
      <c r="P199" s="202"/>
      <c r="Q199" s="202"/>
      <c r="R199" s="202"/>
      <c r="S199" s="202"/>
      <c r="T199" s="202"/>
      <c r="U199" s="202"/>
      <c r="V199" s="202"/>
      <c r="W199" s="202"/>
      <c r="X199" s="202"/>
      <c r="Y199" s="202"/>
      <c r="Z199" s="202"/>
      <c r="AA199" s="202"/>
      <c r="AB199" s="202"/>
      <c r="AC199" s="202"/>
      <c r="AD199" s="202"/>
      <c r="AE199" s="202"/>
      <c r="AF199" s="202"/>
      <c r="AG199" s="202"/>
      <c r="AH199" s="202"/>
      <c r="AI199" s="202"/>
      <c r="AJ199" s="202"/>
      <c r="AK199" s="202"/>
      <c r="AL199" s="202"/>
      <c r="AM199" s="202"/>
      <c r="AN199" s="202"/>
      <c r="AO199" s="202"/>
      <c r="AP199" s="202"/>
      <c r="AQ199" s="202"/>
      <c r="AR199" s="202"/>
      <c r="AS199" s="202"/>
      <c r="AT199" s="203"/>
      <c r="AU199" s="226">
        <f>NGT_TO!AU274</f>
        <v>0</v>
      </c>
      <c r="AV199" s="227">
        <f>NGT_TO!AV274</f>
        <v>0</v>
      </c>
      <c r="AW199" s="227">
        <f>NGT_TO!AW274</f>
        <v>0</v>
      </c>
      <c r="AX199" s="227">
        <f>NGT_TO!AX274</f>
        <v>0</v>
      </c>
      <c r="AY199" s="228">
        <f>NGT_TO!AY274</f>
        <v>0</v>
      </c>
      <c r="AZ199"/>
      <c r="BA199" s="44" t="str">
        <f t="shared" ca="1" si="14"/>
        <v>VariantAllowances</v>
      </c>
      <c r="BB199" s="44" t="str">
        <f t="shared" si="12"/>
        <v>TO variant allowances</v>
      </c>
      <c r="BC199" s="44" t="str">
        <f t="shared" si="13"/>
        <v>Variant allowances percentage allocation</v>
      </c>
    </row>
    <row r="200" spans="5:55">
      <c r="E200" s="195" t="str">
        <f>NGT_TO!E275</f>
        <v>Asset health Re-Opener</v>
      </c>
      <c r="F200" s="221"/>
      <c r="G200" s="196" t="s">
        <v>33</v>
      </c>
      <c r="H200" s="196" t="str">
        <f>NGT_TO!H275</f>
        <v>Load related capex</v>
      </c>
      <c r="I200" s="196"/>
      <c r="J200" s="196"/>
      <c r="K200" s="196"/>
      <c r="L200" s="196"/>
      <c r="M200" s="196"/>
      <c r="N200" s="196"/>
      <c r="O200" s="196"/>
      <c r="P200" s="196"/>
      <c r="Q200" s="196"/>
      <c r="R200" s="196"/>
      <c r="S200" s="196"/>
      <c r="T200" s="196"/>
      <c r="U200" s="196"/>
      <c r="V200" s="196"/>
      <c r="W200" s="196"/>
      <c r="X200" s="196"/>
      <c r="Y200" s="196"/>
      <c r="Z200" s="196"/>
      <c r="AA200" s="196"/>
      <c r="AB200" s="196"/>
      <c r="AC200" s="196"/>
      <c r="AD200" s="196"/>
      <c r="AE200" s="196"/>
      <c r="AF200" s="196"/>
      <c r="AG200" s="196"/>
      <c r="AH200" s="196"/>
      <c r="AI200" s="196"/>
      <c r="AJ200" s="196"/>
      <c r="AK200" s="196"/>
      <c r="AL200" s="196"/>
      <c r="AM200" s="196"/>
      <c r="AN200" s="196"/>
      <c r="AO200" s="196"/>
      <c r="AP200" s="196"/>
      <c r="AQ200" s="196"/>
      <c r="AR200" s="196"/>
      <c r="AS200" s="196"/>
      <c r="AT200" s="197"/>
      <c r="AU200" s="222">
        <f>NGT_TO!AU275</f>
        <v>0</v>
      </c>
      <c r="AV200" s="223">
        <f>NGT_TO!AV275</f>
        <v>0</v>
      </c>
      <c r="AW200" s="223">
        <f>NGT_TO!AW275</f>
        <v>0</v>
      </c>
      <c r="AX200" s="223">
        <f>NGT_TO!AX275</f>
        <v>0</v>
      </c>
      <c r="AY200" s="224">
        <f>NGT_TO!AY275</f>
        <v>0</v>
      </c>
      <c r="AZ200"/>
      <c r="BA200" s="44" t="str">
        <f t="shared" ca="1" si="14"/>
        <v>VariantAllowances</v>
      </c>
      <c r="BB200" s="44" t="str">
        <f t="shared" si="12"/>
        <v>TO variant allowances</v>
      </c>
      <c r="BC200" s="44" t="str">
        <f t="shared" si="13"/>
        <v>Variant allowances percentage allocation</v>
      </c>
    </row>
    <row r="201" spans="5:55">
      <c r="E201" s="212" t="str">
        <f>NGT_TO!E276</f>
        <v>Asset health Re-Opener</v>
      </c>
      <c r="G201" s="43" t="s">
        <v>33</v>
      </c>
      <c r="H201" s="43" t="str">
        <f>NGT_TO!H276</f>
        <v>Asset replacement capex</v>
      </c>
      <c r="AU201" s="175">
        <f>NGT_TO!AU276</f>
        <v>1</v>
      </c>
      <c r="AV201" s="56">
        <f>NGT_TO!AV276</f>
        <v>1</v>
      </c>
      <c r="AW201" s="56">
        <f>NGT_TO!AW276</f>
        <v>1</v>
      </c>
      <c r="AX201" s="56">
        <f>NGT_TO!AX276</f>
        <v>1</v>
      </c>
      <c r="AY201" s="186">
        <f>NGT_TO!AY276</f>
        <v>1</v>
      </c>
      <c r="AZ201"/>
      <c r="BA201" s="44" t="str">
        <f t="shared" ca="1" si="14"/>
        <v>VariantAllowances</v>
      </c>
      <c r="BB201" s="44" t="str">
        <f t="shared" si="12"/>
        <v>TO variant allowances</v>
      </c>
      <c r="BC201" s="44" t="str">
        <f t="shared" si="13"/>
        <v>Variant allowances percentage allocation</v>
      </c>
    </row>
    <row r="202" spans="5:55">
      <c r="E202" s="212" t="str">
        <f>NGT_TO!E277</f>
        <v>Asset health Re-Opener</v>
      </c>
      <c r="G202" s="43" t="s">
        <v>33</v>
      </c>
      <c r="H202" s="43" t="str">
        <f>NGT_TO!H277</f>
        <v>Other capex</v>
      </c>
      <c r="AU202" s="175">
        <f>NGT_TO!AU277</f>
        <v>0</v>
      </c>
      <c r="AV202" s="56">
        <f>NGT_TO!AV277</f>
        <v>0</v>
      </c>
      <c r="AW202" s="56">
        <f>NGT_TO!AW277</f>
        <v>0</v>
      </c>
      <c r="AX202" s="56">
        <f>NGT_TO!AX277</f>
        <v>0</v>
      </c>
      <c r="AY202" s="186">
        <f>NGT_TO!AY277</f>
        <v>0</v>
      </c>
      <c r="AZ202"/>
      <c r="BA202" s="44" t="str">
        <f t="shared" ca="1" si="14"/>
        <v>VariantAllowances</v>
      </c>
      <c r="BB202" s="44" t="str">
        <f t="shared" si="12"/>
        <v>TO variant allowances</v>
      </c>
      <c r="BC202" s="44" t="str">
        <f t="shared" si="13"/>
        <v>Variant allowances percentage allocation</v>
      </c>
    </row>
    <row r="203" spans="5:55">
      <c r="E203" s="212" t="str">
        <f>NGT_TO!E278</f>
        <v>Asset health Re-Opener</v>
      </c>
      <c r="G203" s="43" t="s">
        <v>33</v>
      </c>
      <c r="H203" s="43" t="str">
        <f>NGT_TO!H278</f>
        <v>Non-operational capex</v>
      </c>
      <c r="AU203" s="175">
        <f>NGT_TO!AU278</f>
        <v>0</v>
      </c>
      <c r="AV203" s="56">
        <f>NGT_TO!AV278</f>
        <v>0</v>
      </c>
      <c r="AW203" s="56">
        <f>NGT_TO!AW278</f>
        <v>0</v>
      </c>
      <c r="AX203" s="56">
        <f>NGT_TO!AX278</f>
        <v>0</v>
      </c>
      <c r="AY203" s="186">
        <f>NGT_TO!AY278</f>
        <v>0</v>
      </c>
      <c r="AZ203"/>
      <c r="BA203" s="44" t="str">
        <f t="shared" ca="1" si="14"/>
        <v>VariantAllowances</v>
      </c>
      <c r="BB203" s="44" t="str">
        <f t="shared" si="12"/>
        <v>TO variant allowances</v>
      </c>
      <c r="BC203" s="44" t="str">
        <f t="shared" si="13"/>
        <v>Variant allowances percentage allocation</v>
      </c>
    </row>
    <row r="204" spans="5:55">
      <c r="E204" s="212" t="str">
        <f>NGT_TO!E279</f>
        <v>Asset health Re-Opener</v>
      </c>
      <c r="G204" s="43" t="s">
        <v>33</v>
      </c>
      <c r="H204" s="43" t="str">
        <f>NGT_TO!H279</f>
        <v>Non-load (opex)</v>
      </c>
      <c r="AU204" s="175">
        <f>NGT_TO!AU279</f>
        <v>0</v>
      </c>
      <c r="AV204" s="56">
        <f>NGT_TO!AV279</f>
        <v>0</v>
      </c>
      <c r="AW204" s="56">
        <f>NGT_TO!AW279</f>
        <v>0</v>
      </c>
      <c r="AX204" s="56">
        <f>NGT_TO!AX279</f>
        <v>0</v>
      </c>
      <c r="AY204" s="186">
        <f>NGT_TO!AY279</f>
        <v>0</v>
      </c>
      <c r="AZ204"/>
      <c r="BA204" s="44" t="str">
        <f t="shared" ca="1" si="14"/>
        <v>VariantAllowances</v>
      </c>
      <c r="BB204" s="44" t="str">
        <f t="shared" si="12"/>
        <v>TO variant allowances</v>
      </c>
      <c r="BC204" s="44" t="str">
        <f t="shared" si="13"/>
        <v>Variant allowances percentage allocation</v>
      </c>
    </row>
    <row r="205" spans="5:55">
      <c r="E205" s="201" t="str">
        <f>NGT_TO!E280</f>
        <v>Asset health Re-Opener</v>
      </c>
      <c r="F205" s="225"/>
      <c r="G205" s="202" t="s">
        <v>33</v>
      </c>
      <c r="H205" s="202" t="str">
        <f>NGT_TO!H280</f>
        <v>Indirects (opex)</v>
      </c>
      <c r="I205" s="202"/>
      <c r="J205" s="202"/>
      <c r="K205" s="202"/>
      <c r="L205" s="202"/>
      <c r="M205" s="202"/>
      <c r="N205" s="202"/>
      <c r="O205" s="202"/>
      <c r="P205" s="202"/>
      <c r="Q205" s="202"/>
      <c r="R205" s="202"/>
      <c r="S205" s="202"/>
      <c r="T205" s="202"/>
      <c r="U205" s="202"/>
      <c r="V205" s="202"/>
      <c r="W205" s="202"/>
      <c r="X205" s="202"/>
      <c r="Y205" s="202"/>
      <c r="Z205" s="202"/>
      <c r="AA205" s="202"/>
      <c r="AB205" s="202"/>
      <c r="AC205" s="202"/>
      <c r="AD205" s="202"/>
      <c r="AE205" s="202"/>
      <c r="AF205" s="202"/>
      <c r="AG205" s="202"/>
      <c r="AH205" s="202"/>
      <c r="AI205" s="202"/>
      <c r="AJ205" s="202"/>
      <c r="AK205" s="202"/>
      <c r="AL205" s="202"/>
      <c r="AM205" s="202"/>
      <c r="AN205" s="202"/>
      <c r="AO205" s="202"/>
      <c r="AP205" s="202"/>
      <c r="AQ205" s="202"/>
      <c r="AR205" s="202"/>
      <c r="AS205" s="202"/>
      <c r="AT205" s="203"/>
      <c r="AU205" s="226">
        <f>NGT_TO!AU280</f>
        <v>0</v>
      </c>
      <c r="AV205" s="227">
        <f>NGT_TO!AV280</f>
        <v>0</v>
      </c>
      <c r="AW205" s="227">
        <f>NGT_TO!AW280</f>
        <v>0</v>
      </c>
      <c r="AX205" s="227">
        <f>NGT_TO!AX280</f>
        <v>0</v>
      </c>
      <c r="AY205" s="228">
        <f>NGT_TO!AY280</f>
        <v>0</v>
      </c>
      <c r="AZ205"/>
      <c r="BA205" s="44" t="str">
        <f t="shared" ca="1" si="14"/>
        <v>VariantAllowances</v>
      </c>
      <c r="BB205" s="44" t="str">
        <f t="shared" si="12"/>
        <v>TO variant allowances</v>
      </c>
      <c r="BC205" s="44" t="str">
        <f t="shared" si="13"/>
        <v>Variant allowances percentage allocation</v>
      </c>
    </row>
    <row r="206" spans="5:55">
      <c r="E206" s="195" t="str">
        <f>NGT_TO!E281</f>
        <v>Redundant assets Price Control Deliverable</v>
      </c>
      <c r="F206" s="221"/>
      <c r="G206" s="196" t="s">
        <v>33</v>
      </c>
      <c r="H206" s="196" t="str">
        <f>NGT_TO!H281</f>
        <v>Load related capex</v>
      </c>
      <c r="I206" s="196"/>
      <c r="J206" s="196"/>
      <c r="K206" s="196"/>
      <c r="L206" s="196"/>
      <c r="M206" s="196"/>
      <c r="N206" s="196"/>
      <c r="O206" s="196"/>
      <c r="P206" s="196"/>
      <c r="Q206" s="196"/>
      <c r="R206" s="196"/>
      <c r="S206" s="196"/>
      <c r="T206" s="196"/>
      <c r="U206" s="196"/>
      <c r="V206" s="196"/>
      <c r="W206" s="196"/>
      <c r="X206" s="196"/>
      <c r="Y206" s="196"/>
      <c r="Z206" s="196"/>
      <c r="AA206" s="196"/>
      <c r="AB206" s="196"/>
      <c r="AC206" s="196"/>
      <c r="AD206" s="196"/>
      <c r="AE206" s="196"/>
      <c r="AF206" s="196"/>
      <c r="AG206" s="196"/>
      <c r="AH206" s="196"/>
      <c r="AI206" s="196"/>
      <c r="AJ206" s="196"/>
      <c r="AK206" s="196"/>
      <c r="AL206" s="196"/>
      <c r="AM206" s="196"/>
      <c r="AN206" s="196"/>
      <c r="AO206" s="196"/>
      <c r="AP206" s="196"/>
      <c r="AQ206" s="196"/>
      <c r="AR206" s="196"/>
      <c r="AS206" s="196"/>
      <c r="AT206" s="197"/>
      <c r="AU206" s="222">
        <f>NGT_TO!AU281</f>
        <v>0</v>
      </c>
      <c r="AV206" s="223">
        <f>NGT_TO!AV281</f>
        <v>0</v>
      </c>
      <c r="AW206" s="223">
        <f>NGT_TO!AW281</f>
        <v>0</v>
      </c>
      <c r="AX206" s="223">
        <f>NGT_TO!AX281</f>
        <v>0</v>
      </c>
      <c r="AY206" s="224">
        <f>NGT_TO!AY281</f>
        <v>0</v>
      </c>
      <c r="AZ206"/>
      <c r="BA206" s="44" t="str">
        <f t="shared" ca="1" si="14"/>
        <v>VariantAllowances</v>
      </c>
      <c r="BB206" s="44" t="str">
        <f t="shared" si="12"/>
        <v>TO variant allowances</v>
      </c>
      <c r="BC206" s="44" t="str">
        <f t="shared" si="13"/>
        <v>Variant allowances percentage allocation</v>
      </c>
    </row>
    <row r="207" spans="5:55">
      <c r="E207" s="212" t="str">
        <f>NGT_TO!E282</f>
        <v>Redundant assets Price Control Deliverable</v>
      </c>
      <c r="G207" s="43" t="s">
        <v>33</v>
      </c>
      <c r="H207" s="43" t="str">
        <f>NGT_TO!H282</f>
        <v>Asset replacement capex</v>
      </c>
      <c r="AU207" s="175">
        <f>NGT_TO!AU282</f>
        <v>1</v>
      </c>
      <c r="AV207" s="56">
        <f>NGT_TO!AV282</f>
        <v>1</v>
      </c>
      <c r="AW207" s="56">
        <f>NGT_TO!AW282</f>
        <v>1</v>
      </c>
      <c r="AX207" s="56">
        <f>NGT_TO!AX282</f>
        <v>1</v>
      </c>
      <c r="AY207" s="186">
        <f>NGT_TO!AY282</f>
        <v>1</v>
      </c>
      <c r="AZ207"/>
      <c r="BA207" s="44" t="str">
        <f t="shared" ca="1" si="14"/>
        <v>VariantAllowances</v>
      </c>
      <c r="BB207" s="44" t="str">
        <f t="shared" si="12"/>
        <v>TO variant allowances</v>
      </c>
      <c r="BC207" s="44" t="str">
        <f t="shared" si="13"/>
        <v>Variant allowances percentage allocation</v>
      </c>
    </row>
    <row r="208" spans="5:55">
      <c r="E208" s="212" t="str">
        <f>NGT_TO!E283</f>
        <v>Redundant assets Price Control Deliverable</v>
      </c>
      <c r="G208" s="43" t="s">
        <v>33</v>
      </c>
      <c r="H208" s="43" t="str">
        <f>NGT_TO!H283</f>
        <v>Other capex</v>
      </c>
      <c r="AU208" s="175">
        <f>NGT_TO!AU283</f>
        <v>0</v>
      </c>
      <c r="AV208" s="56">
        <f>NGT_TO!AV283</f>
        <v>0</v>
      </c>
      <c r="AW208" s="56">
        <f>NGT_TO!AW283</f>
        <v>0</v>
      </c>
      <c r="AX208" s="56">
        <f>NGT_TO!AX283</f>
        <v>0</v>
      </c>
      <c r="AY208" s="186">
        <f>NGT_TO!AY283</f>
        <v>0</v>
      </c>
      <c r="AZ208"/>
      <c r="BA208" s="44" t="str">
        <f t="shared" ca="1" si="14"/>
        <v>VariantAllowances</v>
      </c>
      <c r="BB208" s="44" t="str">
        <f t="shared" si="12"/>
        <v>TO variant allowances</v>
      </c>
      <c r="BC208" s="44" t="str">
        <f t="shared" si="13"/>
        <v>Variant allowances percentage allocation</v>
      </c>
    </row>
    <row r="209" spans="5:55">
      <c r="E209" s="212" t="str">
        <f>NGT_TO!E284</f>
        <v>Redundant assets Price Control Deliverable</v>
      </c>
      <c r="G209" s="43" t="s">
        <v>33</v>
      </c>
      <c r="H209" s="43" t="str">
        <f>NGT_TO!H284</f>
        <v>Non-operational capex</v>
      </c>
      <c r="AU209" s="175">
        <f>NGT_TO!AU284</f>
        <v>0</v>
      </c>
      <c r="AV209" s="56">
        <f>NGT_TO!AV284</f>
        <v>0</v>
      </c>
      <c r="AW209" s="56">
        <f>NGT_TO!AW284</f>
        <v>0</v>
      </c>
      <c r="AX209" s="56">
        <f>NGT_TO!AX284</f>
        <v>0</v>
      </c>
      <c r="AY209" s="186">
        <f>NGT_TO!AY284</f>
        <v>0</v>
      </c>
      <c r="AZ209"/>
      <c r="BA209" s="44" t="str">
        <f t="shared" ca="1" si="14"/>
        <v>VariantAllowances</v>
      </c>
      <c r="BB209" s="44" t="str">
        <f t="shared" si="12"/>
        <v>TO variant allowances</v>
      </c>
      <c r="BC209" s="44" t="str">
        <f t="shared" si="13"/>
        <v>Variant allowances percentage allocation</v>
      </c>
    </row>
    <row r="210" spans="5:55">
      <c r="E210" s="212" t="str">
        <f>NGT_TO!E285</f>
        <v>Redundant assets Price Control Deliverable</v>
      </c>
      <c r="G210" s="43" t="s">
        <v>33</v>
      </c>
      <c r="H210" s="43" t="str">
        <f>NGT_TO!H285</f>
        <v>Non-load (opex)</v>
      </c>
      <c r="AU210" s="175">
        <f>NGT_TO!AU285</f>
        <v>0</v>
      </c>
      <c r="AV210" s="56">
        <f>NGT_TO!AV285</f>
        <v>0</v>
      </c>
      <c r="AW210" s="56">
        <f>NGT_TO!AW285</f>
        <v>0</v>
      </c>
      <c r="AX210" s="56">
        <f>NGT_TO!AX285</f>
        <v>0</v>
      </c>
      <c r="AY210" s="186">
        <f>NGT_TO!AY285</f>
        <v>0</v>
      </c>
      <c r="AZ210"/>
      <c r="BA210" s="44" t="str">
        <f t="shared" ca="1" si="14"/>
        <v>VariantAllowances</v>
      </c>
      <c r="BB210" s="44" t="str">
        <f t="shared" si="12"/>
        <v>TO variant allowances</v>
      </c>
      <c r="BC210" s="44" t="str">
        <f t="shared" si="13"/>
        <v>Variant allowances percentage allocation</v>
      </c>
    </row>
    <row r="211" spans="5:55">
      <c r="E211" s="201" t="str">
        <f>NGT_TO!E286</f>
        <v>Redundant assets Price Control Deliverable</v>
      </c>
      <c r="F211" s="225"/>
      <c r="G211" s="202" t="s">
        <v>33</v>
      </c>
      <c r="H211" s="202" t="str">
        <f>NGT_TO!H286</f>
        <v>Indirects (opex)</v>
      </c>
      <c r="I211" s="202"/>
      <c r="J211" s="202"/>
      <c r="K211" s="202"/>
      <c r="L211" s="202"/>
      <c r="M211" s="202"/>
      <c r="N211" s="202"/>
      <c r="O211" s="202"/>
      <c r="P211" s="202"/>
      <c r="Q211" s="202"/>
      <c r="R211" s="202"/>
      <c r="S211" s="202"/>
      <c r="T211" s="202"/>
      <c r="U211" s="202"/>
      <c r="V211" s="202"/>
      <c r="W211" s="202"/>
      <c r="X211" s="202"/>
      <c r="Y211" s="202"/>
      <c r="Z211" s="202"/>
      <c r="AA211" s="202"/>
      <c r="AB211" s="202"/>
      <c r="AC211" s="202"/>
      <c r="AD211" s="202"/>
      <c r="AE211" s="202"/>
      <c r="AF211" s="202"/>
      <c r="AG211" s="202"/>
      <c r="AH211" s="202"/>
      <c r="AI211" s="202"/>
      <c r="AJ211" s="202"/>
      <c r="AK211" s="202"/>
      <c r="AL211" s="202"/>
      <c r="AM211" s="202"/>
      <c r="AN211" s="202"/>
      <c r="AO211" s="202"/>
      <c r="AP211" s="202"/>
      <c r="AQ211" s="202"/>
      <c r="AR211" s="202"/>
      <c r="AS211" s="202"/>
      <c r="AT211" s="203"/>
      <c r="AU211" s="226">
        <f>NGT_TO!AU286</f>
        <v>0</v>
      </c>
      <c r="AV211" s="227">
        <f>NGT_TO!AV286</f>
        <v>0</v>
      </c>
      <c r="AW211" s="227">
        <f>NGT_TO!AW286</f>
        <v>0</v>
      </c>
      <c r="AX211" s="227">
        <f>NGT_TO!AX286</f>
        <v>0</v>
      </c>
      <c r="AY211" s="228">
        <f>NGT_TO!AY286</f>
        <v>0</v>
      </c>
      <c r="AZ211"/>
      <c r="BA211" s="44" t="str">
        <f t="shared" ca="1" si="14"/>
        <v>VariantAllowances</v>
      </c>
      <c r="BB211" s="44" t="str">
        <f t="shared" si="12"/>
        <v>TO variant allowances</v>
      </c>
      <c r="BC211" s="44" t="str">
        <f t="shared" si="13"/>
        <v>Variant allowances percentage allocation</v>
      </c>
    </row>
    <row r="212" spans="5:55">
      <c r="E212" s="195" t="str">
        <f>NGT_TO!E287</f>
        <v>Pipeline Diversions Re-opener</v>
      </c>
      <c r="F212" s="221"/>
      <c r="G212" s="196" t="s">
        <v>33</v>
      </c>
      <c r="H212" s="196" t="str">
        <f>NGT_TO!H287</f>
        <v>Load related capex</v>
      </c>
      <c r="I212" s="196"/>
      <c r="J212" s="196"/>
      <c r="K212" s="196"/>
      <c r="L212" s="196"/>
      <c r="M212" s="196"/>
      <c r="N212" s="196"/>
      <c r="O212" s="196"/>
      <c r="P212" s="196"/>
      <c r="Q212" s="196"/>
      <c r="R212" s="196"/>
      <c r="S212" s="196"/>
      <c r="T212" s="196"/>
      <c r="U212" s="196"/>
      <c r="V212" s="196"/>
      <c r="W212" s="196"/>
      <c r="X212" s="196"/>
      <c r="Y212" s="196"/>
      <c r="Z212" s="196"/>
      <c r="AA212" s="196"/>
      <c r="AB212" s="196"/>
      <c r="AC212" s="196"/>
      <c r="AD212" s="196"/>
      <c r="AE212" s="196"/>
      <c r="AF212" s="196"/>
      <c r="AG212" s="196"/>
      <c r="AH212" s="196"/>
      <c r="AI212" s="196"/>
      <c r="AJ212" s="196"/>
      <c r="AK212" s="196"/>
      <c r="AL212" s="196"/>
      <c r="AM212" s="196"/>
      <c r="AN212" s="196"/>
      <c r="AO212" s="196"/>
      <c r="AP212" s="196"/>
      <c r="AQ212" s="196"/>
      <c r="AR212" s="196"/>
      <c r="AS212" s="196"/>
      <c r="AT212" s="197"/>
      <c r="AU212" s="222">
        <f>NGT_TO!AU287</f>
        <v>0</v>
      </c>
      <c r="AV212" s="223">
        <f>NGT_TO!AV287</f>
        <v>0</v>
      </c>
      <c r="AW212" s="223">
        <f>NGT_TO!AW287</f>
        <v>0</v>
      </c>
      <c r="AX212" s="223">
        <f>NGT_TO!AX287</f>
        <v>0</v>
      </c>
      <c r="AY212" s="224">
        <f>NGT_TO!AY287</f>
        <v>0</v>
      </c>
      <c r="AZ212"/>
      <c r="BA212" s="44" t="str">
        <f t="shared" ca="1" si="14"/>
        <v>VariantAllowances</v>
      </c>
      <c r="BB212" s="44" t="str">
        <f t="shared" si="12"/>
        <v>TO variant allowances</v>
      </c>
      <c r="BC212" s="44" t="str">
        <f t="shared" si="13"/>
        <v>Variant allowances percentage allocation</v>
      </c>
    </row>
    <row r="213" spans="5:55">
      <c r="E213" s="212" t="str">
        <f>NGT_TO!E288</f>
        <v>Pipeline Diversions Re-opener</v>
      </c>
      <c r="G213" s="43" t="s">
        <v>33</v>
      </c>
      <c r="H213" s="43" t="str">
        <f>NGT_TO!H288</f>
        <v>Asset replacement capex</v>
      </c>
      <c r="AU213" s="175">
        <f>NGT_TO!AU288</f>
        <v>0</v>
      </c>
      <c r="AV213" s="56">
        <f>NGT_TO!AV288</f>
        <v>0</v>
      </c>
      <c r="AW213" s="56">
        <f>NGT_TO!AW288</f>
        <v>0</v>
      </c>
      <c r="AX213" s="56">
        <f>NGT_TO!AX288</f>
        <v>0</v>
      </c>
      <c r="AY213" s="186">
        <f>NGT_TO!AY288</f>
        <v>0</v>
      </c>
      <c r="AZ213"/>
      <c r="BA213" s="44" t="str">
        <f t="shared" ca="1" si="14"/>
        <v>VariantAllowances</v>
      </c>
      <c r="BB213" s="44" t="str">
        <f t="shared" si="12"/>
        <v>TO variant allowances</v>
      </c>
      <c r="BC213" s="44" t="str">
        <f t="shared" si="13"/>
        <v>Variant allowances percentage allocation</v>
      </c>
    </row>
    <row r="214" spans="5:55">
      <c r="E214" s="212" t="str">
        <f>NGT_TO!E289</f>
        <v>Pipeline Diversions Re-opener</v>
      </c>
      <c r="G214" s="43" t="s">
        <v>33</v>
      </c>
      <c r="H214" s="43" t="str">
        <f>NGT_TO!H289</f>
        <v>Other capex</v>
      </c>
      <c r="AU214" s="175">
        <f>NGT_TO!AU289</f>
        <v>0</v>
      </c>
      <c r="AV214" s="56">
        <f>NGT_TO!AV289</f>
        <v>0</v>
      </c>
      <c r="AW214" s="56">
        <f>NGT_TO!AW289</f>
        <v>0</v>
      </c>
      <c r="AX214" s="56">
        <f>NGT_TO!AX289</f>
        <v>0</v>
      </c>
      <c r="AY214" s="186">
        <f>NGT_TO!AY289</f>
        <v>0</v>
      </c>
      <c r="AZ214"/>
      <c r="BA214" s="44" t="str">
        <f t="shared" ca="1" si="14"/>
        <v>VariantAllowances</v>
      </c>
      <c r="BB214" s="44" t="str">
        <f t="shared" si="12"/>
        <v>TO variant allowances</v>
      </c>
      <c r="BC214" s="44" t="str">
        <f t="shared" si="13"/>
        <v>Variant allowances percentage allocation</v>
      </c>
    </row>
    <row r="215" spans="5:55">
      <c r="E215" s="212" t="str">
        <f>NGT_TO!E290</f>
        <v>Pipeline Diversions Re-opener</v>
      </c>
      <c r="G215" s="43" t="s">
        <v>33</v>
      </c>
      <c r="H215" s="43" t="str">
        <f>NGT_TO!H290</f>
        <v>Non-operational capex</v>
      </c>
      <c r="AU215" s="175">
        <f>NGT_TO!AU290</f>
        <v>0</v>
      </c>
      <c r="AV215" s="56">
        <f>NGT_TO!AV290</f>
        <v>0</v>
      </c>
      <c r="AW215" s="56">
        <f>NGT_TO!AW290</f>
        <v>0</v>
      </c>
      <c r="AX215" s="56">
        <f>NGT_TO!AX290</f>
        <v>0</v>
      </c>
      <c r="AY215" s="186">
        <f>NGT_TO!AY290</f>
        <v>0</v>
      </c>
      <c r="AZ215"/>
      <c r="BA215" s="44" t="str">
        <f t="shared" ca="1" si="14"/>
        <v>VariantAllowances</v>
      </c>
      <c r="BB215" s="44" t="str">
        <f t="shared" si="12"/>
        <v>TO variant allowances</v>
      </c>
      <c r="BC215" s="44" t="str">
        <f t="shared" si="13"/>
        <v>Variant allowances percentage allocation</v>
      </c>
    </row>
    <row r="216" spans="5:55">
      <c r="E216" s="212" t="str">
        <f>NGT_TO!E291</f>
        <v>Pipeline Diversions Re-opener</v>
      </c>
      <c r="G216" s="43" t="s">
        <v>33</v>
      </c>
      <c r="H216" s="43" t="str">
        <f>NGT_TO!H291</f>
        <v>Non-load (opex)</v>
      </c>
      <c r="AU216" s="175">
        <f>NGT_TO!AU291</f>
        <v>0</v>
      </c>
      <c r="AV216" s="56">
        <f>NGT_TO!AV291</f>
        <v>0</v>
      </c>
      <c r="AW216" s="56">
        <f>NGT_TO!AW291</f>
        <v>0</v>
      </c>
      <c r="AX216" s="56">
        <f>NGT_TO!AX291</f>
        <v>0</v>
      </c>
      <c r="AY216" s="186">
        <f>NGT_TO!AY291</f>
        <v>0</v>
      </c>
      <c r="AZ216"/>
      <c r="BA216" s="44" t="str">
        <f t="shared" ca="1" si="14"/>
        <v>VariantAllowances</v>
      </c>
      <c r="BB216" s="44" t="str">
        <f t="shared" si="12"/>
        <v>TO variant allowances</v>
      </c>
      <c r="BC216" s="44" t="str">
        <f t="shared" si="13"/>
        <v>Variant allowances percentage allocation</v>
      </c>
    </row>
    <row r="217" spans="5:55">
      <c r="E217" s="201" t="str">
        <f>NGT_TO!E292</f>
        <v>Pipeline Diversions Re-opener</v>
      </c>
      <c r="F217" s="225"/>
      <c r="G217" s="202" t="s">
        <v>33</v>
      </c>
      <c r="H217" s="202" t="str">
        <f>NGT_TO!H292</f>
        <v>Indirects (opex)</v>
      </c>
      <c r="I217" s="202"/>
      <c r="J217" s="202"/>
      <c r="K217" s="202"/>
      <c r="L217" s="202"/>
      <c r="M217" s="202"/>
      <c r="N217" s="202"/>
      <c r="O217" s="202"/>
      <c r="P217" s="202"/>
      <c r="Q217" s="202"/>
      <c r="R217" s="202"/>
      <c r="S217" s="202"/>
      <c r="T217" s="202"/>
      <c r="U217" s="202"/>
      <c r="V217" s="202"/>
      <c r="W217" s="202"/>
      <c r="X217" s="202"/>
      <c r="Y217" s="202"/>
      <c r="Z217" s="202"/>
      <c r="AA217" s="202"/>
      <c r="AB217" s="202"/>
      <c r="AC217" s="202"/>
      <c r="AD217" s="202"/>
      <c r="AE217" s="202"/>
      <c r="AF217" s="202"/>
      <c r="AG217" s="202"/>
      <c r="AH217" s="202"/>
      <c r="AI217" s="202"/>
      <c r="AJ217" s="202"/>
      <c r="AK217" s="202"/>
      <c r="AL217" s="202"/>
      <c r="AM217" s="202"/>
      <c r="AN217" s="202"/>
      <c r="AO217" s="202"/>
      <c r="AP217" s="202"/>
      <c r="AQ217" s="202"/>
      <c r="AR217" s="202"/>
      <c r="AS217" s="202"/>
      <c r="AT217" s="203"/>
      <c r="AU217" s="226">
        <f>NGT_TO!AU292</f>
        <v>0</v>
      </c>
      <c r="AV217" s="227">
        <f>NGT_TO!AV292</f>
        <v>0</v>
      </c>
      <c r="AW217" s="227">
        <f>NGT_TO!AW292</f>
        <v>0</v>
      </c>
      <c r="AX217" s="227">
        <f>NGT_TO!AX292</f>
        <v>0</v>
      </c>
      <c r="AY217" s="228">
        <f>NGT_TO!AY292</f>
        <v>0</v>
      </c>
      <c r="AZ217"/>
      <c r="BA217" s="44" t="str">
        <f t="shared" ca="1" si="14"/>
        <v>VariantAllowances</v>
      </c>
      <c r="BB217" s="44" t="str">
        <f t="shared" si="12"/>
        <v>TO variant allowances</v>
      </c>
      <c r="BC217" s="44" t="str">
        <f t="shared" si="13"/>
        <v>Variant allowances percentage allocation</v>
      </c>
    </row>
    <row r="218" spans="5:55">
      <c r="E218" s="195" t="str">
        <f>NGT_TO!E293</f>
        <v>Biomethane Connections use it or lose it allowance</v>
      </c>
      <c r="F218" s="221"/>
      <c r="G218" s="196" t="s">
        <v>33</v>
      </c>
      <c r="H218" s="196" t="str">
        <f>NGT_TO!H293</f>
        <v>Load related capex</v>
      </c>
      <c r="I218" s="196"/>
      <c r="J218" s="196"/>
      <c r="K218" s="196"/>
      <c r="L218" s="196"/>
      <c r="M218" s="196"/>
      <c r="N218" s="196"/>
      <c r="O218" s="196"/>
      <c r="P218" s="196"/>
      <c r="Q218" s="196"/>
      <c r="R218" s="196"/>
      <c r="S218" s="196"/>
      <c r="T218" s="196"/>
      <c r="U218" s="196"/>
      <c r="V218" s="196"/>
      <c r="W218" s="196"/>
      <c r="X218" s="196"/>
      <c r="Y218" s="196"/>
      <c r="Z218" s="196"/>
      <c r="AA218" s="196"/>
      <c r="AB218" s="196"/>
      <c r="AC218" s="196"/>
      <c r="AD218" s="196"/>
      <c r="AE218" s="196"/>
      <c r="AF218" s="196"/>
      <c r="AG218" s="196"/>
      <c r="AH218" s="196"/>
      <c r="AI218" s="196"/>
      <c r="AJ218" s="196"/>
      <c r="AK218" s="196"/>
      <c r="AL218" s="196"/>
      <c r="AM218" s="196"/>
      <c r="AN218" s="196"/>
      <c r="AO218" s="196"/>
      <c r="AP218" s="196"/>
      <c r="AQ218" s="196"/>
      <c r="AR218" s="196"/>
      <c r="AS218" s="196"/>
      <c r="AT218" s="197"/>
      <c r="AU218" s="222">
        <f>NGT_TO!AU293</f>
        <v>1</v>
      </c>
      <c r="AV218" s="223">
        <f>NGT_TO!AV293</f>
        <v>1</v>
      </c>
      <c r="AW218" s="223">
        <f>NGT_TO!AW293</f>
        <v>1</v>
      </c>
      <c r="AX218" s="223">
        <f>NGT_TO!AX293</f>
        <v>1</v>
      </c>
      <c r="AY218" s="224">
        <f>NGT_TO!AY293</f>
        <v>1</v>
      </c>
      <c r="AZ218"/>
      <c r="BA218" s="44" t="str">
        <f t="shared" ca="1" si="14"/>
        <v>VariantAllowances</v>
      </c>
      <c r="BB218" s="44" t="str">
        <f t="shared" si="12"/>
        <v>TO variant allowances</v>
      </c>
      <c r="BC218" s="44" t="str">
        <f t="shared" si="13"/>
        <v>Variant allowances percentage allocation</v>
      </c>
    </row>
    <row r="219" spans="5:55">
      <c r="E219" s="212" t="str">
        <f>NGT_TO!E294</f>
        <v>Biomethane Connections use it or lose it allowance</v>
      </c>
      <c r="G219" s="43" t="s">
        <v>33</v>
      </c>
      <c r="H219" s="43" t="str">
        <f>NGT_TO!H294</f>
        <v>Asset replacement capex</v>
      </c>
      <c r="AU219" s="175">
        <f>NGT_TO!AU294</f>
        <v>0</v>
      </c>
      <c r="AV219" s="56">
        <f>NGT_TO!AV294</f>
        <v>0</v>
      </c>
      <c r="AW219" s="56">
        <f>NGT_TO!AW294</f>
        <v>0</v>
      </c>
      <c r="AX219" s="56">
        <f>NGT_TO!AX294</f>
        <v>0</v>
      </c>
      <c r="AY219" s="186">
        <f>NGT_TO!AY294</f>
        <v>0</v>
      </c>
      <c r="AZ219"/>
      <c r="BA219" s="44" t="str">
        <f t="shared" ca="1" si="14"/>
        <v>VariantAllowances</v>
      </c>
      <c r="BB219" s="44" t="str">
        <f t="shared" si="12"/>
        <v>TO variant allowances</v>
      </c>
      <c r="BC219" s="44" t="str">
        <f t="shared" si="13"/>
        <v>Variant allowances percentage allocation</v>
      </c>
    </row>
    <row r="220" spans="5:55">
      <c r="E220" s="212" t="str">
        <f>NGT_TO!E295</f>
        <v>Biomethane Connections use it or lose it allowance</v>
      </c>
      <c r="G220" s="43" t="s">
        <v>33</v>
      </c>
      <c r="H220" s="43" t="str">
        <f>NGT_TO!H295</f>
        <v>Other capex</v>
      </c>
      <c r="AU220" s="175">
        <f>NGT_TO!AU295</f>
        <v>0</v>
      </c>
      <c r="AV220" s="56">
        <f>NGT_TO!AV295</f>
        <v>0</v>
      </c>
      <c r="AW220" s="56">
        <f>NGT_TO!AW295</f>
        <v>0</v>
      </c>
      <c r="AX220" s="56">
        <f>NGT_TO!AX295</f>
        <v>0</v>
      </c>
      <c r="AY220" s="186">
        <f>NGT_TO!AY295</f>
        <v>0</v>
      </c>
      <c r="AZ220"/>
      <c r="BA220" s="44" t="str">
        <f t="shared" ca="1" si="14"/>
        <v>VariantAllowances</v>
      </c>
      <c r="BB220" s="44" t="str">
        <f t="shared" si="12"/>
        <v>TO variant allowances</v>
      </c>
      <c r="BC220" s="44" t="str">
        <f t="shared" si="13"/>
        <v>Variant allowances percentage allocation</v>
      </c>
    </row>
    <row r="221" spans="5:55">
      <c r="E221" s="212" t="str">
        <f>NGT_TO!E296</f>
        <v>Biomethane Connections use it or lose it allowance</v>
      </c>
      <c r="G221" s="43" t="s">
        <v>33</v>
      </c>
      <c r="H221" s="43" t="str">
        <f>NGT_TO!H296</f>
        <v>Non-operational capex</v>
      </c>
      <c r="AU221" s="175">
        <f>NGT_TO!AU296</f>
        <v>0</v>
      </c>
      <c r="AV221" s="56">
        <f>NGT_TO!AV296</f>
        <v>0</v>
      </c>
      <c r="AW221" s="56">
        <f>NGT_TO!AW296</f>
        <v>0</v>
      </c>
      <c r="AX221" s="56">
        <f>NGT_TO!AX296</f>
        <v>0</v>
      </c>
      <c r="AY221" s="186">
        <f>NGT_TO!AY296</f>
        <v>0</v>
      </c>
      <c r="AZ221"/>
      <c r="BA221" s="44" t="str">
        <f t="shared" ca="1" si="14"/>
        <v>VariantAllowances</v>
      </c>
      <c r="BB221" s="44" t="str">
        <f t="shared" si="12"/>
        <v>TO variant allowances</v>
      </c>
      <c r="BC221" s="44" t="str">
        <f t="shared" si="13"/>
        <v>Variant allowances percentage allocation</v>
      </c>
    </row>
    <row r="222" spans="5:55">
      <c r="E222" s="212" t="str">
        <f>NGT_TO!E297</f>
        <v>Biomethane Connections use it or lose it allowance</v>
      </c>
      <c r="G222" s="43" t="s">
        <v>33</v>
      </c>
      <c r="H222" s="43" t="str">
        <f>NGT_TO!H297</f>
        <v>Non-load (opex)</v>
      </c>
      <c r="AU222" s="175">
        <f>NGT_TO!AU297</f>
        <v>0</v>
      </c>
      <c r="AV222" s="56">
        <f>NGT_TO!AV297</f>
        <v>0</v>
      </c>
      <c r="AW222" s="56">
        <f>NGT_TO!AW297</f>
        <v>0</v>
      </c>
      <c r="AX222" s="56">
        <f>NGT_TO!AX297</f>
        <v>0</v>
      </c>
      <c r="AY222" s="186">
        <f>NGT_TO!AY297</f>
        <v>0</v>
      </c>
      <c r="AZ222"/>
      <c r="BA222" s="44" t="str">
        <f t="shared" ca="1" si="14"/>
        <v>VariantAllowances</v>
      </c>
      <c r="BB222" s="44" t="str">
        <f t="shared" si="12"/>
        <v>TO variant allowances</v>
      </c>
      <c r="BC222" s="44" t="str">
        <f t="shared" si="13"/>
        <v>Variant allowances percentage allocation</v>
      </c>
    </row>
    <row r="223" spans="5:55">
      <c r="E223" s="201" t="str">
        <f>NGT_TO!E298</f>
        <v>Biomethane Connections use it or lose it allowance</v>
      </c>
      <c r="F223" s="225"/>
      <c r="G223" s="202" t="s">
        <v>33</v>
      </c>
      <c r="H223" s="202" t="str">
        <f>NGT_TO!H298</f>
        <v>Indirects (opex)</v>
      </c>
      <c r="I223" s="202"/>
      <c r="J223" s="202"/>
      <c r="K223" s="202"/>
      <c r="L223" s="202"/>
      <c r="M223" s="202"/>
      <c r="N223" s="202"/>
      <c r="O223" s="202"/>
      <c r="P223" s="202"/>
      <c r="Q223" s="202"/>
      <c r="R223" s="202"/>
      <c r="S223" s="202"/>
      <c r="T223" s="202"/>
      <c r="U223" s="202"/>
      <c r="V223" s="202"/>
      <c r="W223" s="202"/>
      <c r="X223" s="202"/>
      <c r="Y223" s="202"/>
      <c r="Z223" s="202"/>
      <c r="AA223" s="202"/>
      <c r="AB223" s="202"/>
      <c r="AC223" s="202"/>
      <c r="AD223" s="202"/>
      <c r="AE223" s="202"/>
      <c r="AF223" s="202"/>
      <c r="AG223" s="202"/>
      <c r="AH223" s="202"/>
      <c r="AI223" s="202"/>
      <c r="AJ223" s="202"/>
      <c r="AK223" s="202"/>
      <c r="AL223" s="202"/>
      <c r="AM223" s="202"/>
      <c r="AN223" s="202"/>
      <c r="AO223" s="202"/>
      <c r="AP223" s="202"/>
      <c r="AQ223" s="202"/>
      <c r="AR223" s="202"/>
      <c r="AS223" s="202"/>
      <c r="AT223" s="203"/>
      <c r="AU223" s="226">
        <f>NGT_TO!AU298</f>
        <v>0</v>
      </c>
      <c r="AV223" s="227">
        <f>NGT_TO!AV298</f>
        <v>0</v>
      </c>
      <c r="AW223" s="227">
        <f>NGT_TO!AW298</f>
        <v>0</v>
      </c>
      <c r="AX223" s="227">
        <f>NGT_TO!AX298</f>
        <v>0</v>
      </c>
      <c r="AY223" s="228">
        <f>NGT_TO!AY298</f>
        <v>0</v>
      </c>
      <c r="AZ223"/>
      <c r="BA223" s="44" t="str">
        <f t="shared" ca="1" si="14"/>
        <v>VariantAllowances</v>
      </c>
      <c r="BB223" s="44" t="str">
        <f t="shared" si="12"/>
        <v>TO variant allowances</v>
      </c>
      <c r="BC223" s="44" t="str">
        <f t="shared" si="13"/>
        <v>Variant allowances percentage allocation</v>
      </c>
    </row>
    <row r="224" spans="5:55">
      <c r="E224" s="195" t="str">
        <f>NGT_TO!E299</f>
        <v>Compressor Breakdown Use it or lose it allowance</v>
      </c>
      <c r="F224" s="221"/>
      <c r="G224" s="196" t="s">
        <v>33</v>
      </c>
      <c r="H224" s="196" t="str">
        <f>NGT_TO!H299</f>
        <v>Load related capex</v>
      </c>
      <c r="I224" s="196"/>
      <c r="J224" s="196"/>
      <c r="K224" s="196"/>
      <c r="L224" s="196"/>
      <c r="M224" s="196"/>
      <c r="N224" s="196"/>
      <c r="O224" s="196"/>
      <c r="P224" s="196"/>
      <c r="Q224" s="196"/>
      <c r="R224" s="196"/>
      <c r="S224" s="196"/>
      <c r="T224" s="196"/>
      <c r="U224" s="196"/>
      <c r="V224" s="196"/>
      <c r="W224" s="196"/>
      <c r="X224" s="196"/>
      <c r="Y224" s="196"/>
      <c r="Z224" s="196"/>
      <c r="AA224" s="196"/>
      <c r="AB224" s="196"/>
      <c r="AC224" s="196"/>
      <c r="AD224" s="196"/>
      <c r="AE224" s="196"/>
      <c r="AF224" s="196"/>
      <c r="AG224" s="196"/>
      <c r="AH224" s="196"/>
      <c r="AI224" s="196"/>
      <c r="AJ224" s="196"/>
      <c r="AK224" s="196"/>
      <c r="AL224" s="196"/>
      <c r="AM224" s="196"/>
      <c r="AN224" s="196"/>
      <c r="AO224" s="196"/>
      <c r="AP224" s="196"/>
      <c r="AQ224" s="196"/>
      <c r="AR224" s="196"/>
      <c r="AS224" s="196"/>
      <c r="AT224" s="197"/>
      <c r="AU224" s="222">
        <f>NGT_TO!AU299</f>
        <v>1</v>
      </c>
      <c r="AV224" s="223">
        <f>NGT_TO!AV299</f>
        <v>1</v>
      </c>
      <c r="AW224" s="223">
        <f>NGT_TO!AW299</f>
        <v>1</v>
      </c>
      <c r="AX224" s="223">
        <f>NGT_TO!AX299</f>
        <v>1</v>
      </c>
      <c r="AY224" s="224">
        <f>NGT_TO!AY299</f>
        <v>1</v>
      </c>
      <c r="AZ224"/>
      <c r="BA224" s="44" t="str">
        <f t="shared" ca="1" si="14"/>
        <v>VariantAllowances</v>
      </c>
      <c r="BB224" s="44" t="str">
        <f t="shared" si="12"/>
        <v>TO variant allowances</v>
      </c>
      <c r="BC224" s="44" t="str">
        <f t="shared" si="13"/>
        <v>Variant allowances percentage allocation</v>
      </c>
    </row>
    <row r="225" spans="5:55">
      <c r="E225" s="212" t="str">
        <f>NGT_TO!E300</f>
        <v>Compressor Breakdown Use it or lose it allowance</v>
      </c>
      <c r="G225" s="43" t="s">
        <v>33</v>
      </c>
      <c r="H225" s="43" t="str">
        <f>NGT_TO!H300</f>
        <v>Asset replacement capex</v>
      </c>
      <c r="AU225" s="175">
        <f>NGT_TO!AU300</f>
        <v>0</v>
      </c>
      <c r="AV225" s="56">
        <f>NGT_TO!AV300</f>
        <v>0</v>
      </c>
      <c r="AW225" s="56">
        <f>NGT_TO!AW300</f>
        <v>0</v>
      </c>
      <c r="AX225" s="56">
        <f>NGT_TO!AX300</f>
        <v>0</v>
      </c>
      <c r="AY225" s="186">
        <f>NGT_TO!AY300</f>
        <v>0</v>
      </c>
      <c r="AZ225"/>
      <c r="BA225" s="44" t="str">
        <f t="shared" ca="1" si="14"/>
        <v>VariantAllowances</v>
      </c>
      <c r="BB225" s="44" t="str">
        <f t="shared" si="12"/>
        <v>TO variant allowances</v>
      </c>
      <c r="BC225" s="44" t="str">
        <f t="shared" si="13"/>
        <v>Variant allowances percentage allocation</v>
      </c>
    </row>
    <row r="226" spans="5:55">
      <c r="E226" s="212" t="str">
        <f>NGT_TO!E301</f>
        <v>Compressor Breakdown Use it or lose it allowance</v>
      </c>
      <c r="G226" s="43" t="s">
        <v>33</v>
      </c>
      <c r="H226" s="43" t="str">
        <f>NGT_TO!H301</f>
        <v>Other capex</v>
      </c>
      <c r="AU226" s="175">
        <f>NGT_TO!AU301</f>
        <v>0</v>
      </c>
      <c r="AV226" s="56">
        <f>NGT_TO!AV301</f>
        <v>0</v>
      </c>
      <c r="AW226" s="56">
        <f>NGT_TO!AW301</f>
        <v>0</v>
      </c>
      <c r="AX226" s="56">
        <f>NGT_TO!AX301</f>
        <v>0</v>
      </c>
      <c r="AY226" s="186">
        <f>NGT_TO!AY301</f>
        <v>0</v>
      </c>
      <c r="AZ226"/>
      <c r="BA226" s="44" t="str">
        <f t="shared" ca="1" si="14"/>
        <v>VariantAllowances</v>
      </c>
      <c r="BB226" s="44" t="str">
        <f t="shared" ref="BB226:BB289" si="15">$A$6</f>
        <v>TO variant allowances</v>
      </c>
      <c r="BC226" s="44" t="str">
        <f t="shared" ref="BC226:BC289" si="16">$B$97</f>
        <v>Variant allowances percentage allocation</v>
      </c>
    </row>
    <row r="227" spans="5:55">
      <c r="E227" s="212" t="str">
        <f>NGT_TO!E302</f>
        <v>Compressor Breakdown Use it or lose it allowance</v>
      </c>
      <c r="G227" s="43" t="s">
        <v>33</v>
      </c>
      <c r="H227" s="43" t="str">
        <f>NGT_TO!H302</f>
        <v>Non-operational capex</v>
      </c>
      <c r="AU227" s="175">
        <f>NGT_TO!AU302</f>
        <v>0</v>
      </c>
      <c r="AV227" s="56">
        <f>NGT_TO!AV302</f>
        <v>0</v>
      </c>
      <c r="AW227" s="56">
        <f>NGT_TO!AW302</f>
        <v>0</v>
      </c>
      <c r="AX227" s="56">
        <f>NGT_TO!AX302</f>
        <v>0</v>
      </c>
      <c r="AY227" s="186">
        <f>NGT_TO!AY302</f>
        <v>0</v>
      </c>
      <c r="AZ227"/>
      <c r="BA227" s="44" t="str">
        <f t="shared" ca="1" si="14"/>
        <v>VariantAllowances</v>
      </c>
      <c r="BB227" s="44" t="str">
        <f t="shared" si="15"/>
        <v>TO variant allowances</v>
      </c>
      <c r="BC227" s="44" t="str">
        <f t="shared" si="16"/>
        <v>Variant allowances percentage allocation</v>
      </c>
    </row>
    <row r="228" spans="5:55">
      <c r="E228" s="212" t="str">
        <f>NGT_TO!E303</f>
        <v>Compressor Breakdown Use it or lose it allowance</v>
      </c>
      <c r="G228" s="43" t="s">
        <v>33</v>
      </c>
      <c r="H228" s="43" t="str">
        <f>NGT_TO!H303</f>
        <v>Non-load (opex)</v>
      </c>
      <c r="AU228" s="175">
        <f>NGT_TO!AU303</f>
        <v>0</v>
      </c>
      <c r="AV228" s="56">
        <f>NGT_TO!AV303</f>
        <v>0</v>
      </c>
      <c r="AW228" s="56">
        <f>NGT_TO!AW303</f>
        <v>0</v>
      </c>
      <c r="AX228" s="56">
        <f>NGT_TO!AX303</f>
        <v>0</v>
      </c>
      <c r="AY228" s="186">
        <f>NGT_TO!AY303</f>
        <v>0</v>
      </c>
      <c r="AZ228"/>
      <c r="BA228" s="44" t="str">
        <f t="shared" ca="1" si="14"/>
        <v>VariantAllowances</v>
      </c>
      <c r="BB228" s="44" t="str">
        <f t="shared" si="15"/>
        <v>TO variant allowances</v>
      </c>
      <c r="BC228" s="44" t="str">
        <f t="shared" si="16"/>
        <v>Variant allowances percentage allocation</v>
      </c>
    </row>
    <row r="229" spans="5:55">
      <c r="E229" s="201" t="str">
        <f>NGT_TO!E304</f>
        <v>Compressor Breakdown Use it or lose it allowance</v>
      </c>
      <c r="F229" s="225"/>
      <c r="G229" s="202" t="s">
        <v>33</v>
      </c>
      <c r="H229" s="202" t="str">
        <f>NGT_TO!H304</f>
        <v>Indirects (opex)</v>
      </c>
      <c r="I229" s="202"/>
      <c r="J229" s="202"/>
      <c r="K229" s="202"/>
      <c r="L229" s="202"/>
      <c r="M229" s="202"/>
      <c r="N229" s="202"/>
      <c r="O229" s="202"/>
      <c r="P229" s="202"/>
      <c r="Q229" s="202"/>
      <c r="R229" s="202"/>
      <c r="S229" s="202"/>
      <c r="T229" s="202"/>
      <c r="U229" s="202"/>
      <c r="V229" s="202"/>
      <c r="W229" s="202"/>
      <c r="X229" s="202"/>
      <c r="Y229" s="202"/>
      <c r="Z229" s="202"/>
      <c r="AA229" s="202"/>
      <c r="AB229" s="202"/>
      <c r="AC229" s="202"/>
      <c r="AD229" s="202"/>
      <c r="AE229" s="202"/>
      <c r="AF229" s="202"/>
      <c r="AG229" s="202"/>
      <c r="AH229" s="202"/>
      <c r="AI229" s="202"/>
      <c r="AJ229" s="202"/>
      <c r="AK229" s="202"/>
      <c r="AL229" s="202"/>
      <c r="AM229" s="202"/>
      <c r="AN229" s="202"/>
      <c r="AO229" s="202"/>
      <c r="AP229" s="202"/>
      <c r="AQ229" s="202"/>
      <c r="AR229" s="202"/>
      <c r="AS229" s="202"/>
      <c r="AT229" s="203"/>
      <c r="AU229" s="226">
        <f>NGT_TO!AU304</f>
        <v>0</v>
      </c>
      <c r="AV229" s="227">
        <f>NGT_TO!AV304</f>
        <v>0</v>
      </c>
      <c r="AW229" s="227">
        <f>NGT_TO!AW304</f>
        <v>0</v>
      </c>
      <c r="AX229" s="227">
        <f>NGT_TO!AX304</f>
        <v>0</v>
      </c>
      <c r="AY229" s="228">
        <f>NGT_TO!AY304</f>
        <v>0</v>
      </c>
      <c r="AZ229"/>
      <c r="BA229" s="44" t="str">
        <f t="shared" ca="1" si="14"/>
        <v>VariantAllowances</v>
      </c>
      <c r="BB229" s="44" t="str">
        <f t="shared" si="15"/>
        <v>TO variant allowances</v>
      </c>
      <c r="BC229" s="44" t="str">
        <f t="shared" si="16"/>
        <v>Variant allowances percentage allocation</v>
      </c>
    </row>
    <row r="230" spans="5:55">
      <c r="E230" s="195" t="str">
        <f>NGT_TO!E305</f>
        <v>Nitrogen Sleeves Price Control Deliverable</v>
      </c>
      <c r="F230" s="221"/>
      <c r="G230" s="196" t="s">
        <v>33</v>
      </c>
      <c r="H230" s="196" t="str">
        <f>NGT_TO!H305</f>
        <v>Load related capex</v>
      </c>
      <c r="I230" s="196"/>
      <c r="J230" s="196"/>
      <c r="K230" s="196"/>
      <c r="L230" s="196"/>
      <c r="M230" s="196"/>
      <c r="N230" s="196"/>
      <c r="O230" s="196"/>
      <c r="P230" s="196"/>
      <c r="Q230" s="196"/>
      <c r="R230" s="196"/>
      <c r="S230" s="196"/>
      <c r="T230" s="196"/>
      <c r="U230" s="196"/>
      <c r="V230" s="196"/>
      <c r="W230" s="196"/>
      <c r="X230" s="196"/>
      <c r="Y230" s="196"/>
      <c r="Z230" s="196"/>
      <c r="AA230" s="196"/>
      <c r="AB230" s="196"/>
      <c r="AC230" s="196"/>
      <c r="AD230" s="196"/>
      <c r="AE230" s="196"/>
      <c r="AF230" s="196"/>
      <c r="AG230" s="196"/>
      <c r="AH230" s="196"/>
      <c r="AI230" s="196"/>
      <c r="AJ230" s="196"/>
      <c r="AK230" s="196"/>
      <c r="AL230" s="196"/>
      <c r="AM230" s="196"/>
      <c r="AN230" s="196"/>
      <c r="AO230" s="196"/>
      <c r="AP230" s="196"/>
      <c r="AQ230" s="196"/>
      <c r="AR230" s="196"/>
      <c r="AS230" s="196"/>
      <c r="AT230" s="197"/>
      <c r="AU230" s="222">
        <f>NGT_TO!AU305</f>
        <v>0</v>
      </c>
      <c r="AV230" s="223">
        <f>NGT_TO!AV305</f>
        <v>0</v>
      </c>
      <c r="AW230" s="223">
        <f>NGT_TO!AW305</f>
        <v>0</v>
      </c>
      <c r="AX230" s="223">
        <f>NGT_TO!AX305</f>
        <v>0</v>
      </c>
      <c r="AY230" s="224">
        <f>NGT_TO!AY305</f>
        <v>0</v>
      </c>
      <c r="AZ230"/>
      <c r="BA230" s="44" t="str">
        <f t="shared" ca="1" si="14"/>
        <v>VariantAllowances</v>
      </c>
      <c r="BB230" s="44" t="str">
        <f t="shared" si="15"/>
        <v>TO variant allowances</v>
      </c>
      <c r="BC230" s="44" t="str">
        <f t="shared" si="16"/>
        <v>Variant allowances percentage allocation</v>
      </c>
    </row>
    <row r="231" spans="5:55">
      <c r="E231" s="212" t="str">
        <f>NGT_TO!E306</f>
        <v>Nitrogen Sleeves Price Control Deliverable</v>
      </c>
      <c r="G231" s="43" t="s">
        <v>33</v>
      </c>
      <c r="H231" s="43" t="str">
        <f>NGT_TO!H306</f>
        <v>Asset replacement capex</v>
      </c>
      <c r="AU231" s="175">
        <f>NGT_TO!AU306</f>
        <v>1</v>
      </c>
      <c r="AV231" s="56">
        <f>NGT_TO!AV306</f>
        <v>1</v>
      </c>
      <c r="AW231" s="56">
        <f>NGT_TO!AW306</f>
        <v>1</v>
      </c>
      <c r="AX231" s="56">
        <f>NGT_TO!AX306</f>
        <v>1</v>
      </c>
      <c r="AY231" s="186">
        <f>NGT_TO!AY306</f>
        <v>1</v>
      </c>
      <c r="AZ231"/>
      <c r="BA231" s="44" t="str">
        <f t="shared" ca="1" si="14"/>
        <v>VariantAllowances</v>
      </c>
      <c r="BB231" s="44" t="str">
        <f t="shared" si="15"/>
        <v>TO variant allowances</v>
      </c>
      <c r="BC231" s="44" t="str">
        <f t="shared" si="16"/>
        <v>Variant allowances percentage allocation</v>
      </c>
    </row>
    <row r="232" spans="5:55">
      <c r="E232" s="212" t="str">
        <f>NGT_TO!E307</f>
        <v>Nitrogen Sleeves Price Control Deliverable</v>
      </c>
      <c r="G232" s="43" t="s">
        <v>33</v>
      </c>
      <c r="H232" s="43" t="str">
        <f>NGT_TO!H307</f>
        <v>Other capex</v>
      </c>
      <c r="AU232" s="175">
        <f>NGT_TO!AU307</f>
        <v>0</v>
      </c>
      <c r="AV232" s="56">
        <f>NGT_TO!AV307</f>
        <v>0</v>
      </c>
      <c r="AW232" s="56">
        <f>NGT_TO!AW307</f>
        <v>0</v>
      </c>
      <c r="AX232" s="56">
        <f>NGT_TO!AX307</f>
        <v>0</v>
      </c>
      <c r="AY232" s="186">
        <f>NGT_TO!AY307</f>
        <v>0</v>
      </c>
      <c r="AZ232"/>
      <c r="BA232" s="44" t="str">
        <f t="shared" ca="1" si="14"/>
        <v>VariantAllowances</v>
      </c>
      <c r="BB232" s="44" t="str">
        <f t="shared" si="15"/>
        <v>TO variant allowances</v>
      </c>
      <c r="BC232" s="44" t="str">
        <f t="shared" si="16"/>
        <v>Variant allowances percentage allocation</v>
      </c>
    </row>
    <row r="233" spans="5:55">
      <c r="E233" s="212" t="str">
        <f>NGT_TO!E308</f>
        <v>Nitrogen Sleeves Price Control Deliverable</v>
      </c>
      <c r="G233" s="43" t="s">
        <v>33</v>
      </c>
      <c r="H233" s="43" t="str">
        <f>NGT_TO!H308</f>
        <v>Non-operational capex</v>
      </c>
      <c r="AU233" s="175">
        <f>NGT_TO!AU308</f>
        <v>0</v>
      </c>
      <c r="AV233" s="56">
        <f>NGT_TO!AV308</f>
        <v>0</v>
      </c>
      <c r="AW233" s="56">
        <f>NGT_TO!AW308</f>
        <v>0</v>
      </c>
      <c r="AX233" s="56">
        <f>NGT_TO!AX308</f>
        <v>0</v>
      </c>
      <c r="AY233" s="186">
        <f>NGT_TO!AY308</f>
        <v>0</v>
      </c>
      <c r="AZ233"/>
      <c r="BA233" s="44" t="str">
        <f t="shared" ca="1" si="14"/>
        <v>VariantAllowances</v>
      </c>
      <c r="BB233" s="44" t="str">
        <f t="shared" si="15"/>
        <v>TO variant allowances</v>
      </c>
      <c r="BC233" s="44" t="str">
        <f t="shared" si="16"/>
        <v>Variant allowances percentage allocation</v>
      </c>
    </row>
    <row r="234" spans="5:55">
      <c r="E234" s="212" t="str">
        <f>NGT_TO!E309</f>
        <v>Nitrogen Sleeves Price Control Deliverable</v>
      </c>
      <c r="G234" s="43" t="s">
        <v>33</v>
      </c>
      <c r="H234" s="43" t="str">
        <f>NGT_TO!H309</f>
        <v>Non-load (opex)</v>
      </c>
      <c r="AU234" s="175">
        <f>NGT_TO!AU309</f>
        <v>0</v>
      </c>
      <c r="AV234" s="56">
        <f>NGT_TO!AV309</f>
        <v>0</v>
      </c>
      <c r="AW234" s="56">
        <f>NGT_TO!AW309</f>
        <v>0</v>
      </c>
      <c r="AX234" s="56">
        <f>NGT_TO!AX309</f>
        <v>0</v>
      </c>
      <c r="AY234" s="186">
        <f>NGT_TO!AY309</f>
        <v>0</v>
      </c>
      <c r="AZ234"/>
      <c r="BA234" s="44" t="str">
        <f t="shared" ca="1" si="14"/>
        <v>VariantAllowances</v>
      </c>
      <c r="BB234" s="44" t="str">
        <f t="shared" si="15"/>
        <v>TO variant allowances</v>
      </c>
      <c r="BC234" s="44" t="str">
        <f t="shared" si="16"/>
        <v>Variant allowances percentage allocation</v>
      </c>
    </row>
    <row r="235" spans="5:55">
      <c r="E235" s="201" t="str">
        <f>NGT_TO!E310</f>
        <v>Nitrogen Sleeves Price Control Deliverable</v>
      </c>
      <c r="F235" s="225"/>
      <c r="G235" s="202" t="s">
        <v>33</v>
      </c>
      <c r="H235" s="202" t="str">
        <f>NGT_TO!H310</f>
        <v>Indirects (opex)</v>
      </c>
      <c r="I235" s="202"/>
      <c r="J235" s="202"/>
      <c r="K235" s="202"/>
      <c r="L235" s="202"/>
      <c r="M235" s="202"/>
      <c r="N235" s="202"/>
      <c r="O235" s="202"/>
      <c r="P235" s="202"/>
      <c r="Q235" s="202"/>
      <c r="R235" s="202"/>
      <c r="S235" s="202"/>
      <c r="T235" s="202"/>
      <c r="U235" s="202"/>
      <c r="V235" s="202"/>
      <c r="W235" s="202"/>
      <c r="X235" s="202"/>
      <c r="Y235" s="202"/>
      <c r="Z235" s="202"/>
      <c r="AA235" s="202"/>
      <c r="AB235" s="202"/>
      <c r="AC235" s="202"/>
      <c r="AD235" s="202"/>
      <c r="AE235" s="202"/>
      <c r="AF235" s="202"/>
      <c r="AG235" s="202"/>
      <c r="AH235" s="202"/>
      <c r="AI235" s="202"/>
      <c r="AJ235" s="202"/>
      <c r="AK235" s="202"/>
      <c r="AL235" s="202"/>
      <c r="AM235" s="202"/>
      <c r="AN235" s="202"/>
      <c r="AO235" s="202"/>
      <c r="AP235" s="202"/>
      <c r="AQ235" s="202"/>
      <c r="AR235" s="202"/>
      <c r="AS235" s="202"/>
      <c r="AT235" s="203"/>
      <c r="AU235" s="226">
        <f>NGT_TO!AU310</f>
        <v>0</v>
      </c>
      <c r="AV235" s="227">
        <f>NGT_TO!AV310</f>
        <v>0</v>
      </c>
      <c r="AW235" s="227">
        <f>NGT_TO!AW310</f>
        <v>0</v>
      </c>
      <c r="AX235" s="227">
        <f>NGT_TO!AX310</f>
        <v>0</v>
      </c>
      <c r="AY235" s="228">
        <f>NGT_TO!AY310</f>
        <v>0</v>
      </c>
      <c r="AZ235"/>
      <c r="BA235" s="44" t="str">
        <f t="shared" ref="BA235:BA298" ca="1" si="17">$A$1</f>
        <v>VariantAllowances</v>
      </c>
      <c r="BB235" s="44" t="str">
        <f t="shared" si="15"/>
        <v>TO variant allowances</v>
      </c>
      <c r="BC235" s="44" t="str">
        <f t="shared" si="16"/>
        <v>Variant allowances percentage allocation</v>
      </c>
    </row>
    <row r="236" spans="5:55">
      <c r="E236" s="195" t="str">
        <f>NGT_TO!E311</f>
        <v>West Import Resilience Project Price Control Deliverable</v>
      </c>
      <c r="F236" s="221"/>
      <c r="G236" s="196" t="s">
        <v>33</v>
      </c>
      <c r="H236" s="196" t="str">
        <f>NGT_TO!H311</f>
        <v>Load related capex</v>
      </c>
      <c r="I236" s="196"/>
      <c r="J236" s="196"/>
      <c r="K236" s="196"/>
      <c r="L236" s="196"/>
      <c r="M236" s="196"/>
      <c r="N236" s="196"/>
      <c r="O236" s="196"/>
      <c r="P236" s="196"/>
      <c r="Q236" s="196"/>
      <c r="R236" s="196"/>
      <c r="S236" s="196"/>
      <c r="T236" s="196"/>
      <c r="U236" s="196"/>
      <c r="V236" s="196"/>
      <c r="W236" s="196"/>
      <c r="X236" s="196"/>
      <c r="Y236" s="196"/>
      <c r="Z236" s="196"/>
      <c r="AA236" s="196"/>
      <c r="AB236" s="196"/>
      <c r="AC236" s="196"/>
      <c r="AD236" s="196"/>
      <c r="AE236" s="196"/>
      <c r="AF236" s="196"/>
      <c r="AG236" s="196"/>
      <c r="AH236" s="196"/>
      <c r="AI236" s="196"/>
      <c r="AJ236" s="196"/>
      <c r="AK236" s="196"/>
      <c r="AL236" s="196"/>
      <c r="AM236" s="196"/>
      <c r="AN236" s="196"/>
      <c r="AO236" s="196"/>
      <c r="AP236" s="196"/>
      <c r="AQ236" s="196"/>
      <c r="AR236" s="196"/>
      <c r="AS236" s="196"/>
      <c r="AT236" s="197"/>
      <c r="AU236" s="222">
        <f>NGT_TO!AU311</f>
        <v>0</v>
      </c>
      <c r="AV236" s="223">
        <f>NGT_TO!AV311</f>
        <v>0</v>
      </c>
      <c r="AW236" s="223">
        <f>NGT_TO!AW311</f>
        <v>0</v>
      </c>
      <c r="AX236" s="223">
        <f>NGT_TO!AX311</f>
        <v>0</v>
      </c>
      <c r="AY236" s="224">
        <f>NGT_TO!AY311</f>
        <v>0</v>
      </c>
      <c r="AZ236"/>
      <c r="BA236" s="44" t="str">
        <f t="shared" ca="1" si="17"/>
        <v>VariantAllowances</v>
      </c>
      <c r="BB236" s="44" t="str">
        <f t="shared" si="15"/>
        <v>TO variant allowances</v>
      </c>
      <c r="BC236" s="44" t="str">
        <f t="shared" si="16"/>
        <v>Variant allowances percentage allocation</v>
      </c>
    </row>
    <row r="237" spans="5:55">
      <c r="E237" s="212" t="str">
        <f>NGT_TO!E312</f>
        <v>West Import Resilience Project Price Control Deliverable</v>
      </c>
      <c r="G237" s="43" t="s">
        <v>33</v>
      </c>
      <c r="H237" s="43" t="str">
        <f>NGT_TO!H312</f>
        <v>Asset replacement capex</v>
      </c>
      <c r="AU237" s="175">
        <f>NGT_TO!AU312</f>
        <v>1</v>
      </c>
      <c r="AV237" s="56">
        <f>NGT_TO!AV312</f>
        <v>1</v>
      </c>
      <c r="AW237" s="56">
        <f>NGT_TO!AW312</f>
        <v>1</v>
      </c>
      <c r="AX237" s="56">
        <f>NGT_TO!AX312</f>
        <v>1</v>
      </c>
      <c r="AY237" s="186">
        <f>NGT_TO!AY312</f>
        <v>1</v>
      </c>
      <c r="AZ237"/>
      <c r="BA237" s="44" t="str">
        <f t="shared" ca="1" si="17"/>
        <v>VariantAllowances</v>
      </c>
      <c r="BB237" s="44" t="str">
        <f t="shared" si="15"/>
        <v>TO variant allowances</v>
      </c>
      <c r="BC237" s="44" t="str">
        <f t="shared" si="16"/>
        <v>Variant allowances percentage allocation</v>
      </c>
    </row>
    <row r="238" spans="5:55">
      <c r="E238" s="212" t="str">
        <f>NGT_TO!E313</f>
        <v>West Import Resilience Project Price Control Deliverable</v>
      </c>
      <c r="G238" s="43" t="s">
        <v>33</v>
      </c>
      <c r="H238" s="43" t="str">
        <f>NGT_TO!H313</f>
        <v>Other capex</v>
      </c>
      <c r="AU238" s="175">
        <f>NGT_TO!AU313</f>
        <v>0</v>
      </c>
      <c r="AV238" s="56">
        <f>NGT_TO!AV313</f>
        <v>0</v>
      </c>
      <c r="AW238" s="56">
        <f>NGT_TO!AW313</f>
        <v>0</v>
      </c>
      <c r="AX238" s="56">
        <f>NGT_TO!AX313</f>
        <v>0</v>
      </c>
      <c r="AY238" s="186">
        <f>NGT_TO!AY313</f>
        <v>0</v>
      </c>
      <c r="AZ238"/>
      <c r="BA238" s="44" t="str">
        <f t="shared" ca="1" si="17"/>
        <v>VariantAllowances</v>
      </c>
      <c r="BB238" s="44" t="str">
        <f t="shared" si="15"/>
        <v>TO variant allowances</v>
      </c>
      <c r="BC238" s="44" t="str">
        <f t="shared" si="16"/>
        <v>Variant allowances percentage allocation</v>
      </c>
    </row>
    <row r="239" spans="5:55">
      <c r="E239" s="212" t="str">
        <f>NGT_TO!E314</f>
        <v>West Import Resilience Project Price Control Deliverable</v>
      </c>
      <c r="G239" s="43" t="s">
        <v>33</v>
      </c>
      <c r="H239" s="43" t="str">
        <f>NGT_TO!H314</f>
        <v>Non-operational capex</v>
      </c>
      <c r="AU239" s="175">
        <f>NGT_TO!AU314</f>
        <v>0</v>
      </c>
      <c r="AV239" s="56">
        <f>NGT_TO!AV314</f>
        <v>0</v>
      </c>
      <c r="AW239" s="56">
        <f>NGT_TO!AW314</f>
        <v>0</v>
      </c>
      <c r="AX239" s="56">
        <f>NGT_TO!AX314</f>
        <v>0</v>
      </c>
      <c r="AY239" s="186">
        <f>NGT_TO!AY314</f>
        <v>0</v>
      </c>
      <c r="AZ239"/>
      <c r="BA239" s="44" t="str">
        <f t="shared" ca="1" si="17"/>
        <v>VariantAllowances</v>
      </c>
      <c r="BB239" s="44" t="str">
        <f t="shared" si="15"/>
        <v>TO variant allowances</v>
      </c>
      <c r="BC239" s="44" t="str">
        <f t="shared" si="16"/>
        <v>Variant allowances percentage allocation</v>
      </c>
    </row>
    <row r="240" spans="5:55">
      <c r="E240" s="212" t="str">
        <f>NGT_TO!E315</f>
        <v>West Import Resilience Project Price Control Deliverable</v>
      </c>
      <c r="G240" s="43" t="s">
        <v>33</v>
      </c>
      <c r="H240" s="43" t="str">
        <f>NGT_TO!H315</f>
        <v>Non-load (opex)</v>
      </c>
      <c r="AU240" s="175">
        <f>NGT_TO!AU315</f>
        <v>0</v>
      </c>
      <c r="AV240" s="56">
        <f>NGT_TO!AV315</f>
        <v>0</v>
      </c>
      <c r="AW240" s="56">
        <f>NGT_TO!AW315</f>
        <v>0</v>
      </c>
      <c r="AX240" s="56">
        <f>NGT_TO!AX315</f>
        <v>0</v>
      </c>
      <c r="AY240" s="186">
        <f>NGT_TO!AY315</f>
        <v>0</v>
      </c>
      <c r="AZ240"/>
      <c r="BA240" s="44" t="str">
        <f t="shared" ca="1" si="17"/>
        <v>VariantAllowances</v>
      </c>
      <c r="BB240" s="44" t="str">
        <f t="shared" si="15"/>
        <v>TO variant allowances</v>
      </c>
      <c r="BC240" s="44" t="str">
        <f t="shared" si="16"/>
        <v>Variant allowances percentage allocation</v>
      </c>
    </row>
    <row r="241" spans="5:55">
      <c r="E241" s="201" t="str">
        <f>NGT_TO!E316</f>
        <v>West Import Resilience Project Price Control Deliverable</v>
      </c>
      <c r="F241" s="225"/>
      <c r="G241" s="202" t="s">
        <v>33</v>
      </c>
      <c r="H241" s="202" t="str">
        <f>NGT_TO!H316</f>
        <v>Indirects (opex)</v>
      </c>
      <c r="I241" s="202"/>
      <c r="J241" s="202"/>
      <c r="K241" s="202"/>
      <c r="L241" s="202"/>
      <c r="M241" s="202"/>
      <c r="N241" s="202"/>
      <c r="O241" s="202"/>
      <c r="P241" s="202"/>
      <c r="Q241" s="202"/>
      <c r="R241" s="202"/>
      <c r="S241" s="202"/>
      <c r="T241" s="202"/>
      <c r="U241" s="202"/>
      <c r="V241" s="202"/>
      <c r="W241" s="202"/>
      <c r="X241" s="202"/>
      <c r="Y241" s="202"/>
      <c r="Z241" s="202"/>
      <c r="AA241" s="202"/>
      <c r="AB241" s="202"/>
      <c r="AC241" s="202"/>
      <c r="AD241" s="202"/>
      <c r="AE241" s="202"/>
      <c r="AF241" s="202"/>
      <c r="AG241" s="202"/>
      <c r="AH241" s="202"/>
      <c r="AI241" s="202"/>
      <c r="AJ241" s="202"/>
      <c r="AK241" s="202"/>
      <c r="AL241" s="202"/>
      <c r="AM241" s="202"/>
      <c r="AN241" s="202"/>
      <c r="AO241" s="202"/>
      <c r="AP241" s="202"/>
      <c r="AQ241" s="202"/>
      <c r="AR241" s="202"/>
      <c r="AS241" s="202"/>
      <c r="AT241" s="203"/>
      <c r="AU241" s="226">
        <f>NGT_TO!AU316</f>
        <v>0</v>
      </c>
      <c r="AV241" s="227">
        <f>NGT_TO!AV316</f>
        <v>0</v>
      </c>
      <c r="AW241" s="227">
        <f>NGT_TO!AW316</f>
        <v>0</v>
      </c>
      <c r="AX241" s="227">
        <f>NGT_TO!AX316</f>
        <v>0</v>
      </c>
      <c r="AY241" s="228">
        <f>NGT_TO!AY316</f>
        <v>0</v>
      </c>
      <c r="AZ241"/>
      <c r="BA241" s="44" t="str">
        <f t="shared" ca="1" si="17"/>
        <v>VariantAllowances</v>
      </c>
      <c r="BB241" s="44" t="str">
        <f t="shared" si="15"/>
        <v>TO variant allowances</v>
      </c>
      <c r="BC241" s="44" t="str">
        <f t="shared" si="16"/>
        <v>Variant allowances percentage allocation</v>
      </c>
    </row>
    <row r="242" spans="5:55">
      <c r="E242" s="195" t="str">
        <f>NGT_TO!E317</f>
        <v>West Import Resilience Project Re-opener</v>
      </c>
      <c r="F242" s="221"/>
      <c r="G242" s="196" t="s">
        <v>33</v>
      </c>
      <c r="H242" s="196" t="str">
        <f>NGT_TO!H317</f>
        <v>Load related capex</v>
      </c>
      <c r="I242" s="196"/>
      <c r="J242" s="196"/>
      <c r="K242" s="196"/>
      <c r="L242" s="196"/>
      <c r="M242" s="196"/>
      <c r="N242" s="196"/>
      <c r="O242" s="196"/>
      <c r="P242" s="196"/>
      <c r="Q242" s="196"/>
      <c r="R242" s="196"/>
      <c r="S242" s="196"/>
      <c r="T242" s="196"/>
      <c r="U242" s="196"/>
      <c r="V242" s="196"/>
      <c r="W242" s="196"/>
      <c r="X242" s="196"/>
      <c r="Y242" s="196"/>
      <c r="Z242" s="196"/>
      <c r="AA242" s="196"/>
      <c r="AB242" s="196"/>
      <c r="AC242" s="196"/>
      <c r="AD242" s="196"/>
      <c r="AE242" s="196"/>
      <c r="AF242" s="196"/>
      <c r="AG242" s="196"/>
      <c r="AH242" s="196"/>
      <c r="AI242" s="196"/>
      <c r="AJ242" s="196"/>
      <c r="AK242" s="196"/>
      <c r="AL242" s="196"/>
      <c r="AM242" s="196"/>
      <c r="AN242" s="196"/>
      <c r="AO242" s="196"/>
      <c r="AP242" s="196"/>
      <c r="AQ242" s="196"/>
      <c r="AR242" s="196"/>
      <c r="AS242" s="196"/>
      <c r="AT242" s="197"/>
      <c r="AU242" s="222">
        <f>NGT_TO!AU317</f>
        <v>1</v>
      </c>
      <c r="AV242" s="223">
        <f>NGT_TO!AV317</f>
        <v>1</v>
      </c>
      <c r="AW242" s="223">
        <f>NGT_TO!AW317</f>
        <v>1</v>
      </c>
      <c r="AX242" s="223">
        <f>NGT_TO!AX317</f>
        <v>1</v>
      </c>
      <c r="AY242" s="224">
        <f>NGT_TO!AY317</f>
        <v>1</v>
      </c>
      <c r="AZ242"/>
      <c r="BA242" s="44" t="str">
        <f t="shared" ca="1" si="17"/>
        <v>VariantAllowances</v>
      </c>
      <c r="BB242" s="44" t="str">
        <f t="shared" si="15"/>
        <v>TO variant allowances</v>
      </c>
      <c r="BC242" s="44" t="str">
        <f t="shared" si="16"/>
        <v>Variant allowances percentage allocation</v>
      </c>
    </row>
    <row r="243" spans="5:55">
      <c r="E243" s="212" t="str">
        <f>NGT_TO!E318</f>
        <v>West Import Resilience Project Re-opener</v>
      </c>
      <c r="G243" s="43" t="s">
        <v>33</v>
      </c>
      <c r="H243" s="43" t="str">
        <f>NGT_TO!H318</f>
        <v>Asset replacement capex</v>
      </c>
      <c r="AU243" s="175">
        <f>NGT_TO!AU318</f>
        <v>0</v>
      </c>
      <c r="AV243" s="56">
        <f>NGT_TO!AV318</f>
        <v>0</v>
      </c>
      <c r="AW243" s="56">
        <f>NGT_TO!AW318</f>
        <v>0</v>
      </c>
      <c r="AX243" s="56">
        <f>NGT_TO!AX318</f>
        <v>0</v>
      </c>
      <c r="AY243" s="186">
        <f>NGT_TO!AY318</f>
        <v>0</v>
      </c>
      <c r="AZ243"/>
      <c r="BA243" s="44" t="str">
        <f t="shared" ca="1" si="17"/>
        <v>VariantAllowances</v>
      </c>
      <c r="BB243" s="44" t="str">
        <f t="shared" si="15"/>
        <v>TO variant allowances</v>
      </c>
      <c r="BC243" s="44" t="str">
        <f t="shared" si="16"/>
        <v>Variant allowances percentage allocation</v>
      </c>
    </row>
    <row r="244" spans="5:55">
      <c r="E244" s="212" t="str">
        <f>NGT_TO!E319</f>
        <v>West Import Resilience Project Re-opener</v>
      </c>
      <c r="G244" s="43" t="s">
        <v>33</v>
      </c>
      <c r="H244" s="43" t="str">
        <f>NGT_TO!H319</f>
        <v>Other capex</v>
      </c>
      <c r="AU244" s="175">
        <f>NGT_TO!AU319</f>
        <v>0</v>
      </c>
      <c r="AV244" s="56">
        <f>NGT_TO!AV319</f>
        <v>0</v>
      </c>
      <c r="AW244" s="56">
        <f>NGT_TO!AW319</f>
        <v>0</v>
      </c>
      <c r="AX244" s="56">
        <f>NGT_TO!AX319</f>
        <v>0</v>
      </c>
      <c r="AY244" s="186">
        <f>NGT_TO!AY319</f>
        <v>0</v>
      </c>
      <c r="AZ244"/>
      <c r="BA244" s="44" t="str">
        <f t="shared" ca="1" si="17"/>
        <v>VariantAllowances</v>
      </c>
      <c r="BB244" s="44" t="str">
        <f t="shared" si="15"/>
        <v>TO variant allowances</v>
      </c>
      <c r="BC244" s="44" t="str">
        <f t="shared" si="16"/>
        <v>Variant allowances percentage allocation</v>
      </c>
    </row>
    <row r="245" spans="5:55">
      <c r="E245" s="212" t="str">
        <f>NGT_TO!E320</f>
        <v>West Import Resilience Project Re-opener</v>
      </c>
      <c r="G245" s="43" t="s">
        <v>33</v>
      </c>
      <c r="H245" s="43" t="str">
        <f>NGT_TO!H320</f>
        <v>Non-operational capex</v>
      </c>
      <c r="AU245" s="175">
        <f>NGT_TO!AU320</f>
        <v>0</v>
      </c>
      <c r="AV245" s="56">
        <f>NGT_TO!AV320</f>
        <v>0</v>
      </c>
      <c r="AW245" s="56">
        <f>NGT_TO!AW320</f>
        <v>0</v>
      </c>
      <c r="AX245" s="56">
        <f>NGT_TO!AX320</f>
        <v>0</v>
      </c>
      <c r="AY245" s="186">
        <f>NGT_TO!AY320</f>
        <v>0</v>
      </c>
      <c r="AZ245"/>
      <c r="BA245" s="44" t="str">
        <f t="shared" ca="1" si="17"/>
        <v>VariantAllowances</v>
      </c>
      <c r="BB245" s="44" t="str">
        <f t="shared" si="15"/>
        <v>TO variant allowances</v>
      </c>
      <c r="BC245" s="44" t="str">
        <f t="shared" si="16"/>
        <v>Variant allowances percentage allocation</v>
      </c>
    </row>
    <row r="246" spans="5:55">
      <c r="E246" s="212" t="str">
        <f>NGT_TO!E321</f>
        <v>West Import Resilience Project Re-opener</v>
      </c>
      <c r="G246" s="43" t="s">
        <v>33</v>
      </c>
      <c r="H246" s="43" t="str">
        <f>NGT_TO!H321</f>
        <v>Non-load (opex)</v>
      </c>
      <c r="AU246" s="175">
        <f>NGT_TO!AU321</f>
        <v>0</v>
      </c>
      <c r="AV246" s="56">
        <f>NGT_TO!AV321</f>
        <v>0</v>
      </c>
      <c r="AW246" s="56">
        <f>NGT_TO!AW321</f>
        <v>0</v>
      </c>
      <c r="AX246" s="56">
        <f>NGT_TO!AX321</f>
        <v>0</v>
      </c>
      <c r="AY246" s="186">
        <f>NGT_TO!AY321</f>
        <v>0</v>
      </c>
      <c r="AZ246"/>
      <c r="BA246" s="44" t="str">
        <f t="shared" ca="1" si="17"/>
        <v>VariantAllowances</v>
      </c>
      <c r="BB246" s="44" t="str">
        <f t="shared" si="15"/>
        <v>TO variant allowances</v>
      </c>
      <c r="BC246" s="44" t="str">
        <f t="shared" si="16"/>
        <v>Variant allowances percentage allocation</v>
      </c>
    </row>
    <row r="247" spans="5:55">
      <c r="E247" s="201" t="str">
        <f>NGT_TO!E322</f>
        <v>West Import Resilience Project Re-opener</v>
      </c>
      <c r="F247" s="225"/>
      <c r="G247" s="202" t="s">
        <v>33</v>
      </c>
      <c r="H247" s="202" t="str">
        <f>NGT_TO!H322</f>
        <v>Indirects (opex)</v>
      </c>
      <c r="I247" s="202"/>
      <c r="J247" s="202"/>
      <c r="K247" s="202"/>
      <c r="L247" s="202"/>
      <c r="M247" s="202"/>
      <c r="N247" s="202"/>
      <c r="O247" s="202"/>
      <c r="P247" s="202"/>
      <c r="Q247" s="202"/>
      <c r="R247" s="202"/>
      <c r="S247" s="202"/>
      <c r="T247" s="202"/>
      <c r="U247" s="202"/>
      <c r="V247" s="202"/>
      <c r="W247" s="202"/>
      <c r="X247" s="202"/>
      <c r="Y247" s="202"/>
      <c r="Z247" s="202"/>
      <c r="AA247" s="202"/>
      <c r="AB247" s="202"/>
      <c r="AC247" s="202"/>
      <c r="AD247" s="202"/>
      <c r="AE247" s="202"/>
      <c r="AF247" s="202"/>
      <c r="AG247" s="202"/>
      <c r="AH247" s="202"/>
      <c r="AI247" s="202"/>
      <c r="AJ247" s="202"/>
      <c r="AK247" s="202"/>
      <c r="AL247" s="202"/>
      <c r="AM247" s="202"/>
      <c r="AN247" s="202"/>
      <c r="AO247" s="202"/>
      <c r="AP247" s="202"/>
      <c r="AQ247" s="202"/>
      <c r="AR247" s="202"/>
      <c r="AS247" s="202"/>
      <c r="AT247" s="203"/>
      <c r="AU247" s="226">
        <f>NGT_TO!AU322</f>
        <v>0</v>
      </c>
      <c r="AV247" s="227">
        <f>NGT_TO!AV322</f>
        <v>0</v>
      </c>
      <c r="AW247" s="227">
        <f>NGT_TO!AW322</f>
        <v>0</v>
      </c>
      <c r="AX247" s="227">
        <f>NGT_TO!AX322</f>
        <v>0</v>
      </c>
      <c r="AY247" s="228">
        <f>NGT_TO!AY322</f>
        <v>0</v>
      </c>
      <c r="AZ247"/>
      <c r="BA247" s="44" t="str">
        <f t="shared" ca="1" si="17"/>
        <v>VariantAllowances</v>
      </c>
      <c r="BB247" s="44" t="str">
        <f t="shared" si="15"/>
        <v>TO variant allowances</v>
      </c>
      <c r="BC247" s="44" t="str">
        <f t="shared" si="16"/>
        <v>Variant allowances percentage allocation</v>
      </c>
    </row>
    <row r="248" spans="5:55">
      <c r="E248" s="195" t="str">
        <f>NGT_TO!E323</f>
        <v>Gas strategic planning re-opener</v>
      </c>
      <c r="F248" s="221"/>
      <c r="G248" s="196" t="s">
        <v>33</v>
      </c>
      <c r="H248" s="196" t="str">
        <f>NGT_TO!H323</f>
        <v>Load related capex</v>
      </c>
      <c r="I248" s="196"/>
      <c r="J248" s="196"/>
      <c r="K248" s="196"/>
      <c r="L248" s="196"/>
      <c r="M248" s="196"/>
      <c r="N248" s="196"/>
      <c r="O248" s="196"/>
      <c r="P248" s="196"/>
      <c r="Q248" s="196"/>
      <c r="R248" s="196"/>
      <c r="S248" s="196"/>
      <c r="T248" s="196"/>
      <c r="U248" s="196"/>
      <c r="V248" s="196"/>
      <c r="W248" s="196"/>
      <c r="X248" s="196"/>
      <c r="Y248" s="196"/>
      <c r="Z248" s="196"/>
      <c r="AA248" s="196"/>
      <c r="AB248" s="196"/>
      <c r="AC248" s="196"/>
      <c r="AD248" s="196"/>
      <c r="AE248" s="196"/>
      <c r="AF248" s="196"/>
      <c r="AG248" s="196"/>
      <c r="AH248" s="196"/>
      <c r="AI248" s="196"/>
      <c r="AJ248" s="196"/>
      <c r="AK248" s="196"/>
      <c r="AL248" s="196"/>
      <c r="AM248" s="196"/>
      <c r="AN248" s="196"/>
      <c r="AO248" s="196"/>
      <c r="AP248" s="196"/>
      <c r="AQ248" s="196"/>
      <c r="AR248" s="196"/>
      <c r="AS248" s="196"/>
      <c r="AT248" s="197"/>
      <c r="AU248" s="222">
        <f>NGT_TO!AU323</f>
        <v>0</v>
      </c>
      <c r="AV248" s="223">
        <f>NGT_TO!AV323</f>
        <v>0</v>
      </c>
      <c r="AW248" s="223">
        <f>NGT_TO!AW323</f>
        <v>0</v>
      </c>
      <c r="AX248" s="223">
        <f>NGT_TO!AX323</f>
        <v>0</v>
      </c>
      <c r="AY248" s="224">
        <f>NGT_TO!AY323</f>
        <v>0</v>
      </c>
      <c r="AZ248"/>
      <c r="BA248" s="44" t="str">
        <f t="shared" ca="1" si="17"/>
        <v>VariantAllowances</v>
      </c>
      <c r="BB248" s="44" t="str">
        <f t="shared" si="15"/>
        <v>TO variant allowances</v>
      </c>
      <c r="BC248" s="44" t="str">
        <f t="shared" si="16"/>
        <v>Variant allowances percentage allocation</v>
      </c>
    </row>
    <row r="249" spans="5:55">
      <c r="E249" s="212" t="str">
        <f>NGT_TO!E324</f>
        <v>Gas strategic planning re-opener</v>
      </c>
      <c r="G249" s="43" t="s">
        <v>33</v>
      </c>
      <c r="H249" s="43" t="str">
        <f>NGT_TO!H324</f>
        <v>Asset replacement capex</v>
      </c>
      <c r="AU249" s="175">
        <f>NGT_TO!AU324</f>
        <v>1</v>
      </c>
      <c r="AV249" s="56">
        <f>NGT_TO!AV324</f>
        <v>1</v>
      </c>
      <c r="AW249" s="56">
        <f>NGT_TO!AW324</f>
        <v>1</v>
      </c>
      <c r="AX249" s="56">
        <f>NGT_TO!AX324</f>
        <v>1</v>
      </c>
      <c r="AY249" s="186">
        <f>NGT_TO!AY324</f>
        <v>1</v>
      </c>
      <c r="AZ249"/>
      <c r="BA249" s="44" t="str">
        <f t="shared" ca="1" si="17"/>
        <v>VariantAllowances</v>
      </c>
      <c r="BB249" s="44" t="str">
        <f t="shared" si="15"/>
        <v>TO variant allowances</v>
      </c>
      <c r="BC249" s="44" t="str">
        <f t="shared" si="16"/>
        <v>Variant allowances percentage allocation</v>
      </c>
    </row>
    <row r="250" spans="5:55">
      <c r="E250" s="212" t="str">
        <f>NGT_TO!E325</f>
        <v>Gas strategic planning re-opener</v>
      </c>
      <c r="G250" s="43" t="s">
        <v>33</v>
      </c>
      <c r="H250" s="43" t="str">
        <f>NGT_TO!H325</f>
        <v>Other capex</v>
      </c>
      <c r="AU250" s="175">
        <f>NGT_TO!AU325</f>
        <v>0</v>
      </c>
      <c r="AV250" s="56">
        <f>NGT_TO!AV325</f>
        <v>0</v>
      </c>
      <c r="AW250" s="56">
        <f>NGT_TO!AW325</f>
        <v>0</v>
      </c>
      <c r="AX250" s="56">
        <f>NGT_TO!AX325</f>
        <v>0</v>
      </c>
      <c r="AY250" s="186">
        <f>NGT_TO!AY325</f>
        <v>0</v>
      </c>
      <c r="AZ250"/>
      <c r="BA250" s="44" t="str">
        <f t="shared" ca="1" si="17"/>
        <v>VariantAllowances</v>
      </c>
      <c r="BB250" s="44" t="str">
        <f t="shared" si="15"/>
        <v>TO variant allowances</v>
      </c>
      <c r="BC250" s="44" t="str">
        <f t="shared" si="16"/>
        <v>Variant allowances percentage allocation</v>
      </c>
    </row>
    <row r="251" spans="5:55">
      <c r="E251" s="212" t="str">
        <f>NGT_TO!E326</f>
        <v>Gas strategic planning re-opener</v>
      </c>
      <c r="G251" s="43" t="s">
        <v>33</v>
      </c>
      <c r="H251" s="43" t="str">
        <f>NGT_TO!H326</f>
        <v>Non-operational capex</v>
      </c>
      <c r="AU251" s="175">
        <f>NGT_TO!AU326</f>
        <v>0</v>
      </c>
      <c r="AV251" s="56">
        <f>NGT_TO!AV326</f>
        <v>0</v>
      </c>
      <c r="AW251" s="56">
        <f>NGT_TO!AW326</f>
        <v>0</v>
      </c>
      <c r="AX251" s="56">
        <f>NGT_TO!AX326</f>
        <v>0</v>
      </c>
      <c r="AY251" s="186">
        <f>NGT_TO!AY326</f>
        <v>0</v>
      </c>
      <c r="AZ251"/>
      <c r="BA251" s="44" t="str">
        <f t="shared" ca="1" si="17"/>
        <v>VariantAllowances</v>
      </c>
      <c r="BB251" s="44" t="str">
        <f t="shared" si="15"/>
        <v>TO variant allowances</v>
      </c>
      <c r="BC251" s="44" t="str">
        <f t="shared" si="16"/>
        <v>Variant allowances percentage allocation</v>
      </c>
    </row>
    <row r="252" spans="5:55">
      <c r="E252" s="212" t="str">
        <f>NGT_TO!E327</f>
        <v>Gas strategic planning re-opener</v>
      </c>
      <c r="G252" s="43" t="s">
        <v>33</v>
      </c>
      <c r="H252" s="43" t="str">
        <f>NGT_TO!H327</f>
        <v>Non-load (opex)</v>
      </c>
      <c r="AU252" s="175">
        <f>NGT_TO!AU327</f>
        <v>0</v>
      </c>
      <c r="AV252" s="56">
        <f>NGT_TO!AV327</f>
        <v>0</v>
      </c>
      <c r="AW252" s="56">
        <f>NGT_TO!AW327</f>
        <v>0</v>
      </c>
      <c r="AX252" s="56">
        <f>NGT_TO!AX327</f>
        <v>0</v>
      </c>
      <c r="AY252" s="186">
        <f>NGT_TO!AY327</f>
        <v>0</v>
      </c>
      <c r="AZ252"/>
      <c r="BA252" s="44" t="str">
        <f t="shared" ca="1" si="17"/>
        <v>VariantAllowances</v>
      </c>
      <c r="BB252" s="44" t="str">
        <f t="shared" si="15"/>
        <v>TO variant allowances</v>
      </c>
      <c r="BC252" s="44" t="str">
        <f t="shared" si="16"/>
        <v>Variant allowances percentage allocation</v>
      </c>
    </row>
    <row r="253" spans="5:55">
      <c r="E253" s="201" t="str">
        <f>NGT_TO!E328</f>
        <v>Gas strategic planning re-opener</v>
      </c>
      <c r="F253" s="225"/>
      <c r="G253" s="202" t="s">
        <v>33</v>
      </c>
      <c r="H253" s="202" t="str">
        <f>NGT_TO!H328</f>
        <v>Indirects (opex)</v>
      </c>
      <c r="I253" s="202"/>
      <c r="J253" s="202"/>
      <c r="K253" s="202"/>
      <c r="L253" s="202"/>
      <c r="M253" s="202"/>
      <c r="N253" s="202"/>
      <c r="O253" s="202"/>
      <c r="P253" s="202"/>
      <c r="Q253" s="202"/>
      <c r="R253" s="202"/>
      <c r="S253" s="202"/>
      <c r="T253" s="202"/>
      <c r="U253" s="202"/>
      <c r="V253" s="202"/>
      <c r="W253" s="202"/>
      <c r="X253" s="202"/>
      <c r="Y253" s="202"/>
      <c r="Z253" s="202"/>
      <c r="AA253" s="202"/>
      <c r="AB253" s="202"/>
      <c r="AC253" s="202"/>
      <c r="AD253" s="202"/>
      <c r="AE253" s="202"/>
      <c r="AF253" s="202"/>
      <c r="AG253" s="202"/>
      <c r="AH253" s="202"/>
      <c r="AI253" s="202"/>
      <c r="AJ253" s="202"/>
      <c r="AK253" s="202"/>
      <c r="AL253" s="202"/>
      <c r="AM253" s="202"/>
      <c r="AN253" s="202"/>
      <c r="AO253" s="202"/>
      <c r="AP253" s="202"/>
      <c r="AQ253" s="202"/>
      <c r="AR253" s="202"/>
      <c r="AS253" s="202"/>
      <c r="AT253" s="203"/>
      <c r="AU253" s="226">
        <f>NGT_TO!AU328</f>
        <v>0</v>
      </c>
      <c r="AV253" s="227">
        <f>NGT_TO!AV328</f>
        <v>0</v>
      </c>
      <c r="AW253" s="227">
        <f>NGT_TO!AW328</f>
        <v>0</v>
      </c>
      <c r="AX253" s="227">
        <f>NGT_TO!AX328</f>
        <v>0</v>
      </c>
      <c r="AY253" s="228">
        <f>NGT_TO!AY328</f>
        <v>0</v>
      </c>
      <c r="AZ253"/>
      <c r="BA253" s="44" t="str">
        <f t="shared" ca="1" si="17"/>
        <v>VariantAllowances</v>
      </c>
      <c r="BB253" s="44" t="str">
        <f t="shared" si="15"/>
        <v>TO variant allowances</v>
      </c>
      <c r="BC253" s="44" t="str">
        <f t="shared" si="16"/>
        <v>Variant allowances percentage allocation</v>
      </c>
    </row>
    <row r="254" spans="5:55">
      <c r="E254" s="195" t="str">
        <f>NGT_TO!E329</f>
        <v>Office and Gas National Control Centre and Emergency Control Room Relocation Re-opener</v>
      </c>
      <c r="F254" s="221"/>
      <c r="G254" s="196" t="s">
        <v>33</v>
      </c>
      <c r="H254" s="196" t="str">
        <f>NGT_TO!H329</f>
        <v>Load related capex</v>
      </c>
      <c r="I254" s="196"/>
      <c r="J254" s="196"/>
      <c r="K254" s="196"/>
      <c r="L254" s="196"/>
      <c r="M254" s="196"/>
      <c r="N254" s="196"/>
      <c r="O254" s="196"/>
      <c r="P254" s="196"/>
      <c r="Q254" s="196"/>
      <c r="R254" s="196"/>
      <c r="S254" s="196"/>
      <c r="T254" s="196"/>
      <c r="U254" s="196"/>
      <c r="V254" s="196"/>
      <c r="W254" s="196"/>
      <c r="X254" s="196"/>
      <c r="Y254" s="196"/>
      <c r="Z254" s="196"/>
      <c r="AA254" s="196"/>
      <c r="AB254" s="196"/>
      <c r="AC254" s="196"/>
      <c r="AD254" s="196"/>
      <c r="AE254" s="196"/>
      <c r="AF254" s="196"/>
      <c r="AG254" s="196"/>
      <c r="AH254" s="196"/>
      <c r="AI254" s="196"/>
      <c r="AJ254" s="196"/>
      <c r="AK254" s="196"/>
      <c r="AL254" s="196"/>
      <c r="AM254" s="196"/>
      <c r="AN254" s="196"/>
      <c r="AO254" s="196"/>
      <c r="AP254" s="196"/>
      <c r="AQ254" s="196"/>
      <c r="AR254" s="196"/>
      <c r="AS254" s="196"/>
      <c r="AT254" s="197"/>
      <c r="AU254" s="222">
        <f>NGT_TO!AU329</f>
        <v>0</v>
      </c>
      <c r="AV254" s="223">
        <f>NGT_TO!AV329</f>
        <v>0</v>
      </c>
      <c r="AW254" s="223">
        <f>NGT_TO!AW329</f>
        <v>0</v>
      </c>
      <c r="AX254" s="223">
        <f>NGT_TO!AX329</f>
        <v>0</v>
      </c>
      <c r="AY254" s="224">
        <f>NGT_TO!AY329</f>
        <v>0</v>
      </c>
      <c r="AZ254"/>
      <c r="BA254" s="44" t="str">
        <f t="shared" ca="1" si="17"/>
        <v>VariantAllowances</v>
      </c>
      <c r="BB254" s="44" t="str">
        <f t="shared" si="15"/>
        <v>TO variant allowances</v>
      </c>
      <c r="BC254" s="44" t="str">
        <f t="shared" si="16"/>
        <v>Variant allowances percentage allocation</v>
      </c>
    </row>
    <row r="255" spans="5:55">
      <c r="E255" s="212" t="str">
        <f>NGT_TO!E330</f>
        <v>Office and Gas National Control Centre and Emergency Control Room Relocation Re-opener</v>
      </c>
      <c r="G255" s="43" t="s">
        <v>33</v>
      </c>
      <c r="H255" s="43" t="str">
        <f>NGT_TO!H330</f>
        <v>Asset replacement capex</v>
      </c>
      <c r="AU255" s="175">
        <f>NGT_TO!AU330</f>
        <v>0</v>
      </c>
      <c r="AV255" s="56">
        <f>NGT_TO!AV330</f>
        <v>0</v>
      </c>
      <c r="AW255" s="56">
        <f>NGT_TO!AW330</f>
        <v>0</v>
      </c>
      <c r="AX255" s="56">
        <f>NGT_TO!AX330</f>
        <v>0</v>
      </c>
      <c r="AY255" s="186">
        <f>NGT_TO!AY330</f>
        <v>0</v>
      </c>
      <c r="AZ255"/>
      <c r="BA255" s="44" t="str">
        <f t="shared" ca="1" si="17"/>
        <v>VariantAllowances</v>
      </c>
      <c r="BB255" s="44" t="str">
        <f t="shared" si="15"/>
        <v>TO variant allowances</v>
      </c>
      <c r="BC255" s="44" t="str">
        <f t="shared" si="16"/>
        <v>Variant allowances percentage allocation</v>
      </c>
    </row>
    <row r="256" spans="5:55">
      <c r="E256" s="212" t="str">
        <f>NGT_TO!E331</f>
        <v>Office and Gas National Control Centre and Emergency Control Room Relocation Re-opener</v>
      </c>
      <c r="G256" s="43" t="s">
        <v>33</v>
      </c>
      <c r="H256" s="43" t="str">
        <f>NGT_TO!H331</f>
        <v>Other capex</v>
      </c>
      <c r="AU256" s="175">
        <f>NGT_TO!AU331</f>
        <v>0</v>
      </c>
      <c r="AV256" s="56">
        <f>NGT_TO!AV331</f>
        <v>0</v>
      </c>
      <c r="AW256" s="56">
        <f>NGT_TO!AW331</f>
        <v>0</v>
      </c>
      <c r="AX256" s="56">
        <f>NGT_TO!AX331</f>
        <v>0</v>
      </c>
      <c r="AY256" s="186">
        <f>NGT_TO!AY331</f>
        <v>0</v>
      </c>
      <c r="AZ256"/>
      <c r="BA256" s="44" t="str">
        <f t="shared" ca="1" si="17"/>
        <v>VariantAllowances</v>
      </c>
      <c r="BB256" s="44" t="str">
        <f t="shared" si="15"/>
        <v>TO variant allowances</v>
      </c>
      <c r="BC256" s="44" t="str">
        <f t="shared" si="16"/>
        <v>Variant allowances percentage allocation</v>
      </c>
    </row>
    <row r="257" spans="5:55">
      <c r="E257" s="212" t="str">
        <f>NGT_TO!E332</f>
        <v>Office and Gas National Control Centre and Emergency Control Room Relocation Re-opener</v>
      </c>
      <c r="G257" s="43" t="s">
        <v>33</v>
      </c>
      <c r="H257" s="43" t="str">
        <f>NGT_TO!H332</f>
        <v>Non-operational capex</v>
      </c>
      <c r="AU257" s="175">
        <f>NGT_TO!AU332</f>
        <v>1</v>
      </c>
      <c r="AV257" s="56">
        <f>NGT_TO!AV332</f>
        <v>1</v>
      </c>
      <c r="AW257" s="56">
        <f>NGT_TO!AW332</f>
        <v>0.98761166238074205</v>
      </c>
      <c r="AX257" s="56">
        <f>NGT_TO!AX332</f>
        <v>0.65655674699725997</v>
      </c>
      <c r="AY257" s="186">
        <f>NGT_TO!AY332</f>
        <v>0.14489659464143473</v>
      </c>
      <c r="AZ257"/>
      <c r="BA257" s="44" t="str">
        <f t="shared" ca="1" si="17"/>
        <v>VariantAllowances</v>
      </c>
      <c r="BB257" s="44" t="str">
        <f t="shared" si="15"/>
        <v>TO variant allowances</v>
      </c>
      <c r="BC257" s="44" t="str">
        <f t="shared" si="16"/>
        <v>Variant allowances percentage allocation</v>
      </c>
    </row>
    <row r="258" spans="5:55">
      <c r="E258" s="212" t="str">
        <f>NGT_TO!E333</f>
        <v>Office and Gas National Control Centre and Emergency Control Room Relocation Re-opener</v>
      </c>
      <c r="G258" s="43" t="s">
        <v>33</v>
      </c>
      <c r="H258" s="43" t="str">
        <f>NGT_TO!H333</f>
        <v>Non-load (opex)</v>
      </c>
      <c r="AU258" s="175">
        <f>NGT_TO!AU333</f>
        <v>0</v>
      </c>
      <c r="AV258" s="56">
        <f>NGT_TO!AV333</f>
        <v>0</v>
      </c>
      <c r="AW258" s="56">
        <f>NGT_TO!AW333</f>
        <v>0</v>
      </c>
      <c r="AX258" s="56">
        <f>NGT_TO!AX333</f>
        <v>0</v>
      </c>
      <c r="AY258" s="186">
        <f>NGT_TO!AY333</f>
        <v>0</v>
      </c>
      <c r="AZ258"/>
      <c r="BA258" s="44" t="str">
        <f t="shared" ca="1" si="17"/>
        <v>VariantAllowances</v>
      </c>
      <c r="BB258" s="44" t="str">
        <f t="shared" si="15"/>
        <v>TO variant allowances</v>
      </c>
      <c r="BC258" s="44" t="str">
        <f t="shared" si="16"/>
        <v>Variant allowances percentage allocation</v>
      </c>
    </row>
    <row r="259" spans="5:55">
      <c r="E259" s="201" t="str">
        <f>NGT_TO!E334</f>
        <v>Office and Gas National Control Centre and Emergency Control Room Relocation Re-opener</v>
      </c>
      <c r="F259" s="225"/>
      <c r="G259" s="202" t="s">
        <v>33</v>
      </c>
      <c r="H259" s="202" t="str">
        <f>NGT_TO!H334</f>
        <v>Indirects (opex)</v>
      </c>
      <c r="I259" s="202"/>
      <c r="J259" s="202"/>
      <c r="K259" s="202"/>
      <c r="L259" s="202"/>
      <c r="M259" s="202"/>
      <c r="N259" s="202"/>
      <c r="O259" s="202"/>
      <c r="P259" s="202"/>
      <c r="Q259" s="202"/>
      <c r="R259" s="202"/>
      <c r="S259" s="202"/>
      <c r="T259" s="202"/>
      <c r="U259" s="202"/>
      <c r="V259" s="202"/>
      <c r="W259" s="202"/>
      <c r="X259" s="202"/>
      <c r="Y259" s="202"/>
      <c r="Z259" s="202"/>
      <c r="AA259" s="202"/>
      <c r="AB259" s="202"/>
      <c r="AC259" s="202"/>
      <c r="AD259" s="202"/>
      <c r="AE259" s="202"/>
      <c r="AF259" s="202"/>
      <c r="AG259" s="202"/>
      <c r="AH259" s="202"/>
      <c r="AI259" s="202"/>
      <c r="AJ259" s="202"/>
      <c r="AK259" s="202"/>
      <c r="AL259" s="202"/>
      <c r="AM259" s="202"/>
      <c r="AN259" s="202"/>
      <c r="AO259" s="202"/>
      <c r="AP259" s="202"/>
      <c r="AQ259" s="202"/>
      <c r="AR259" s="202"/>
      <c r="AS259" s="202"/>
      <c r="AT259" s="203"/>
      <c r="AU259" s="226">
        <f>NGT_TO!AU334</f>
        <v>0</v>
      </c>
      <c r="AV259" s="227">
        <f>NGT_TO!AV334</f>
        <v>0</v>
      </c>
      <c r="AW259" s="227">
        <f>NGT_TO!AW334</f>
        <v>1.2388337619257872E-2</v>
      </c>
      <c r="AX259" s="227">
        <f>NGT_TO!AX334</f>
        <v>0.34344325300273998</v>
      </c>
      <c r="AY259" s="228">
        <f>NGT_TO!AY334</f>
        <v>0.85510340535856522</v>
      </c>
      <c r="AZ259"/>
      <c r="BA259" s="44" t="str">
        <f t="shared" ca="1" si="17"/>
        <v>VariantAllowances</v>
      </c>
      <c r="BB259" s="44" t="str">
        <f t="shared" si="15"/>
        <v>TO variant allowances</v>
      </c>
      <c r="BC259" s="44" t="str">
        <f t="shared" si="16"/>
        <v>Variant allowances percentage allocation</v>
      </c>
    </row>
    <row r="260" spans="5:55">
      <c r="E260" s="195" t="str">
        <f>NGT_TO!E335</f>
        <v>Network capability re-opener</v>
      </c>
      <c r="F260" s="221"/>
      <c r="G260" s="196" t="s">
        <v>33</v>
      </c>
      <c r="H260" s="196" t="str">
        <f>NGT_TO!H335</f>
        <v>Load related capex</v>
      </c>
      <c r="I260" s="196"/>
      <c r="J260" s="196"/>
      <c r="K260" s="196"/>
      <c r="L260" s="196"/>
      <c r="M260" s="196"/>
      <c r="N260" s="196"/>
      <c r="O260" s="196"/>
      <c r="P260" s="196"/>
      <c r="Q260" s="196"/>
      <c r="R260" s="196"/>
      <c r="S260" s="196"/>
      <c r="T260" s="196"/>
      <c r="U260" s="196"/>
      <c r="V260" s="196"/>
      <c r="W260" s="196"/>
      <c r="X260" s="196"/>
      <c r="Y260" s="196"/>
      <c r="Z260" s="196"/>
      <c r="AA260" s="196"/>
      <c r="AB260" s="196"/>
      <c r="AC260" s="196"/>
      <c r="AD260" s="196"/>
      <c r="AE260" s="196"/>
      <c r="AF260" s="196"/>
      <c r="AG260" s="196"/>
      <c r="AH260" s="196"/>
      <c r="AI260" s="196"/>
      <c r="AJ260" s="196"/>
      <c r="AK260" s="196"/>
      <c r="AL260" s="196"/>
      <c r="AM260" s="196"/>
      <c r="AN260" s="196"/>
      <c r="AO260" s="196"/>
      <c r="AP260" s="196"/>
      <c r="AQ260" s="196"/>
      <c r="AR260" s="196"/>
      <c r="AS260" s="196"/>
      <c r="AT260" s="197"/>
      <c r="AU260" s="222">
        <f>NGT_TO!AU335</f>
        <v>0</v>
      </c>
      <c r="AV260" s="223">
        <f>NGT_TO!AV335</f>
        <v>0</v>
      </c>
      <c r="AW260" s="223">
        <f>NGT_TO!AW335</f>
        <v>0</v>
      </c>
      <c r="AX260" s="223">
        <f>NGT_TO!AX335</f>
        <v>0</v>
      </c>
      <c r="AY260" s="224">
        <f>NGT_TO!AY335</f>
        <v>0</v>
      </c>
      <c r="AZ260"/>
      <c r="BA260" s="44" t="str">
        <f t="shared" ca="1" si="17"/>
        <v>VariantAllowances</v>
      </c>
      <c r="BB260" s="44" t="str">
        <f t="shared" si="15"/>
        <v>TO variant allowances</v>
      </c>
      <c r="BC260" s="44" t="str">
        <f t="shared" si="16"/>
        <v>Variant allowances percentage allocation</v>
      </c>
    </row>
    <row r="261" spans="5:55">
      <c r="E261" s="212" t="str">
        <f>NGT_TO!E336</f>
        <v>Network capability re-opener</v>
      </c>
      <c r="G261" s="43" t="s">
        <v>33</v>
      </c>
      <c r="H261" s="43" t="str">
        <f>NGT_TO!H336</f>
        <v>Asset replacement capex</v>
      </c>
      <c r="AU261" s="175">
        <f>NGT_TO!AU336</f>
        <v>1</v>
      </c>
      <c r="AV261" s="56">
        <f>NGT_TO!AV336</f>
        <v>1</v>
      </c>
      <c r="AW261" s="56">
        <f>NGT_TO!AW336</f>
        <v>1</v>
      </c>
      <c r="AX261" s="56">
        <f>NGT_TO!AX336</f>
        <v>1</v>
      </c>
      <c r="AY261" s="186">
        <f>NGT_TO!AY336</f>
        <v>1</v>
      </c>
      <c r="AZ261"/>
      <c r="BA261" s="44" t="str">
        <f t="shared" ca="1" si="17"/>
        <v>VariantAllowances</v>
      </c>
      <c r="BB261" s="44" t="str">
        <f t="shared" si="15"/>
        <v>TO variant allowances</v>
      </c>
      <c r="BC261" s="44" t="str">
        <f t="shared" si="16"/>
        <v>Variant allowances percentage allocation</v>
      </c>
    </row>
    <row r="262" spans="5:55">
      <c r="E262" s="212" t="str">
        <f>NGT_TO!E337</f>
        <v>Network capability re-opener</v>
      </c>
      <c r="G262" s="43" t="s">
        <v>33</v>
      </c>
      <c r="H262" s="43" t="str">
        <f>NGT_TO!H337</f>
        <v>Other capex</v>
      </c>
      <c r="AU262" s="175">
        <f>NGT_TO!AU337</f>
        <v>0</v>
      </c>
      <c r="AV262" s="56">
        <f>NGT_TO!AV337</f>
        <v>0</v>
      </c>
      <c r="AW262" s="56">
        <f>NGT_TO!AW337</f>
        <v>0</v>
      </c>
      <c r="AX262" s="56">
        <f>NGT_TO!AX337</f>
        <v>0</v>
      </c>
      <c r="AY262" s="186">
        <f>NGT_TO!AY337</f>
        <v>0</v>
      </c>
      <c r="AZ262"/>
      <c r="BA262" s="44" t="str">
        <f t="shared" ca="1" si="17"/>
        <v>VariantAllowances</v>
      </c>
      <c r="BB262" s="44" t="str">
        <f t="shared" si="15"/>
        <v>TO variant allowances</v>
      </c>
      <c r="BC262" s="44" t="str">
        <f t="shared" si="16"/>
        <v>Variant allowances percentage allocation</v>
      </c>
    </row>
    <row r="263" spans="5:55">
      <c r="E263" s="212" t="str">
        <f>NGT_TO!E338</f>
        <v>Network capability re-opener</v>
      </c>
      <c r="G263" s="43" t="s">
        <v>33</v>
      </c>
      <c r="H263" s="43" t="str">
        <f>NGT_TO!H338</f>
        <v>Non-operational capex</v>
      </c>
      <c r="AU263" s="175">
        <f>NGT_TO!AU338</f>
        <v>0</v>
      </c>
      <c r="AV263" s="56">
        <f>NGT_TO!AV338</f>
        <v>0</v>
      </c>
      <c r="AW263" s="56">
        <f>NGT_TO!AW338</f>
        <v>0</v>
      </c>
      <c r="AX263" s="56">
        <f>NGT_TO!AX338</f>
        <v>0</v>
      </c>
      <c r="AY263" s="186">
        <f>NGT_TO!AY338</f>
        <v>0</v>
      </c>
      <c r="AZ263"/>
      <c r="BA263" s="44" t="str">
        <f t="shared" ca="1" si="17"/>
        <v>VariantAllowances</v>
      </c>
      <c r="BB263" s="44" t="str">
        <f t="shared" si="15"/>
        <v>TO variant allowances</v>
      </c>
      <c r="BC263" s="44" t="str">
        <f t="shared" si="16"/>
        <v>Variant allowances percentage allocation</v>
      </c>
    </row>
    <row r="264" spans="5:55">
      <c r="E264" s="212" t="str">
        <f>NGT_TO!E339</f>
        <v>Network capability re-opener</v>
      </c>
      <c r="G264" s="43" t="s">
        <v>33</v>
      </c>
      <c r="H264" s="43" t="str">
        <f>NGT_TO!H339</f>
        <v>Non-load (opex)</v>
      </c>
      <c r="AU264" s="175">
        <f>NGT_TO!AU339</f>
        <v>0</v>
      </c>
      <c r="AV264" s="56">
        <f>NGT_TO!AV339</f>
        <v>0</v>
      </c>
      <c r="AW264" s="56">
        <f>NGT_TO!AW339</f>
        <v>0</v>
      </c>
      <c r="AX264" s="56">
        <f>NGT_TO!AX339</f>
        <v>0</v>
      </c>
      <c r="AY264" s="186">
        <f>NGT_TO!AY339</f>
        <v>0</v>
      </c>
      <c r="AZ264"/>
      <c r="BA264" s="44" t="str">
        <f t="shared" ca="1" si="17"/>
        <v>VariantAllowances</v>
      </c>
      <c r="BB264" s="44" t="str">
        <f t="shared" si="15"/>
        <v>TO variant allowances</v>
      </c>
      <c r="BC264" s="44" t="str">
        <f t="shared" si="16"/>
        <v>Variant allowances percentage allocation</v>
      </c>
    </row>
    <row r="265" spans="5:55">
      <c r="E265" s="201" t="str">
        <f>NGT_TO!E340</f>
        <v>Network capability re-opener</v>
      </c>
      <c r="F265" s="225"/>
      <c r="G265" s="202" t="s">
        <v>33</v>
      </c>
      <c r="H265" s="202" t="str">
        <f>NGT_TO!H340</f>
        <v>Indirects (opex)</v>
      </c>
      <c r="I265" s="202"/>
      <c r="J265" s="202"/>
      <c r="K265" s="202"/>
      <c r="L265" s="202"/>
      <c r="M265" s="202"/>
      <c r="N265" s="202"/>
      <c r="O265" s="202"/>
      <c r="P265" s="202"/>
      <c r="Q265" s="202"/>
      <c r="R265" s="202"/>
      <c r="S265" s="202"/>
      <c r="T265" s="202"/>
      <c r="U265" s="202"/>
      <c r="V265" s="202"/>
      <c r="W265" s="202"/>
      <c r="X265" s="202"/>
      <c r="Y265" s="202"/>
      <c r="Z265" s="202"/>
      <c r="AA265" s="202"/>
      <c r="AB265" s="202"/>
      <c r="AC265" s="202"/>
      <c r="AD265" s="202"/>
      <c r="AE265" s="202"/>
      <c r="AF265" s="202"/>
      <c r="AG265" s="202"/>
      <c r="AH265" s="202"/>
      <c r="AI265" s="202"/>
      <c r="AJ265" s="202"/>
      <c r="AK265" s="202"/>
      <c r="AL265" s="202"/>
      <c r="AM265" s="202"/>
      <c r="AN265" s="202"/>
      <c r="AO265" s="202"/>
      <c r="AP265" s="202"/>
      <c r="AQ265" s="202"/>
      <c r="AR265" s="202"/>
      <c r="AS265" s="202"/>
      <c r="AT265" s="203"/>
      <c r="AU265" s="226">
        <f>NGT_TO!AU340</f>
        <v>0</v>
      </c>
      <c r="AV265" s="227">
        <f>NGT_TO!AV340</f>
        <v>0</v>
      </c>
      <c r="AW265" s="227">
        <f>NGT_TO!AW340</f>
        <v>0</v>
      </c>
      <c r="AX265" s="227">
        <f>NGT_TO!AX340</f>
        <v>0</v>
      </c>
      <c r="AY265" s="228">
        <f>NGT_TO!AY340</f>
        <v>0</v>
      </c>
      <c r="AZ265"/>
      <c r="BA265" s="44" t="str">
        <f t="shared" ca="1" si="17"/>
        <v>VariantAllowances</v>
      </c>
      <c r="BB265" s="44" t="str">
        <f t="shared" si="15"/>
        <v>TO variant allowances</v>
      </c>
      <c r="BC265" s="44" t="str">
        <f t="shared" si="16"/>
        <v>Variant allowances percentage allocation</v>
      </c>
    </row>
    <row r="266" spans="5:55">
      <c r="E266" s="195" t="str">
        <f>NGT_TO!E341</f>
        <v>Bacton Enhanced Filtration re-opener</v>
      </c>
      <c r="F266" s="221"/>
      <c r="G266" s="196" t="s">
        <v>33</v>
      </c>
      <c r="H266" s="196" t="str">
        <f>NGT_TO!H341</f>
        <v>Load related capex</v>
      </c>
      <c r="I266" s="196"/>
      <c r="J266" s="196"/>
      <c r="K266" s="196"/>
      <c r="L266" s="196"/>
      <c r="M266" s="196"/>
      <c r="N266" s="196"/>
      <c r="O266" s="196"/>
      <c r="P266" s="196"/>
      <c r="Q266" s="196"/>
      <c r="R266" s="196"/>
      <c r="S266" s="196"/>
      <c r="T266" s="196"/>
      <c r="U266" s="196"/>
      <c r="V266" s="196"/>
      <c r="W266" s="196"/>
      <c r="X266" s="196"/>
      <c r="Y266" s="196"/>
      <c r="Z266" s="196"/>
      <c r="AA266" s="196"/>
      <c r="AB266" s="196"/>
      <c r="AC266" s="196"/>
      <c r="AD266" s="196"/>
      <c r="AE266" s="196"/>
      <c r="AF266" s="196"/>
      <c r="AG266" s="196"/>
      <c r="AH266" s="196"/>
      <c r="AI266" s="196"/>
      <c r="AJ266" s="196"/>
      <c r="AK266" s="196"/>
      <c r="AL266" s="196"/>
      <c r="AM266" s="196"/>
      <c r="AN266" s="196"/>
      <c r="AO266" s="196"/>
      <c r="AP266" s="196"/>
      <c r="AQ266" s="196"/>
      <c r="AR266" s="196"/>
      <c r="AS266" s="196"/>
      <c r="AT266" s="197"/>
      <c r="AU266" s="222">
        <f>NGT_TO!AU341</f>
        <v>0</v>
      </c>
      <c r="AV266" s="223">
        <f>NGT_TO!AV341</f>
        <v>0</v>
      </c>
      <c r="AW266" s="223">
        <f>NGT_TO!AW341</f>
        <v>0</v>
      </c>
      <c r="AX266" s="223">
        <f>NGT_TO!AX341</f>
        <v>0</v>
      </c>
      <c r="AY266" s="224">
        <f>NGT_TO!AY341</f>
        <v>0</v>
      </c>
      <c r="AZ266"/>
      <c r="BA266" s="44" t="str">
        <f t="shared" ca="1" si="17"/>
        <v>VariantAllowances</v>
      </c>
      <c r="BB266" s="44" t="str">
        <f t="shared" si="15"/>
        <v>TO variant allowances</v>
      </c>
      <c r="BC266" s="44" t="str">
        <f t="shared" si="16"/>
        <v>Variant allowances percentage allocation</v>
      </c>
    </row>
    <row r="267" spans="5:55">
      <c r="E267" s="212" t="str">
        <f>NGT_TO!E342</f>
        <v>Bacton Enhanced Filtration re-opener</v>
      </c>
      <c r="G267" s="43" t="s">
        <v>33</v>
      </c>
      <c r="H267" s="43" t="str">
        <f>NGT_TO!H342</f>
        <v>Asset replacement capex</v>
      </c>
      <c r="AU267" s="175">
        <f>NGT_TO!AU342</f>
        <v>0</v>
      </c>
      <c r="AV267" s="56">
        <f>NGT_TO!AV342</f>
        <v>0</v>
      </c>
      <c r="AW267" s="56">
        <f>NGT_TO!AW342</f>
        <v>0</v>
      </c>
      <c r="AX267" s="56">
        <f>NGT_TO!AX342</f>
        <v>0</v>
      </c>
      <c r="AY267" s="186">
        <f>NGT_TO!AY342</f>
        <v>0</v>
      </c>
      <c r="AZ267"/>
      <c r="BA267" s="44" t="str">
        <f t="shared" ca="1" si="17"/>
        <v>VariantAllowances</v>
      </c>
      <c r="BB267" s="44" t="str">
        <f t="shared" si="15"/>
        <v>TO variant allowances</v>
      </c>
      <c r="BC267" s="44" t="str">
        <f t="shared" si="16"/>
        <v>Variant allowances percentage allocation</v>
      </c>
    </row>
    <row r="268" spans="5:55">
      <c r="E268" s="212" t="str">
        <f>NGT_TO!E343</f>
        <v>Bacton Enhanced Filtration re-opener</v>
      </c>
      <c r="G268" s="43" t="s">
        <v>33</v>
      </c>
      <c r="H268" s="43" t="str">
        <f>NGT_TO!H343</f>
        <v>Other capex</v>
      </c>
      <c r="AU268" s="175">
        <f>NGT_TO!AU343</f>
        <v>0</v>
      </c>
      <c r="AV268" s="56">
        <f>NGT_TO!AV343</f>
        <v>0</v>
      </c>
      <c r="AW268" s="56">
        <f>NGT_TO!AW343</f>
        <v>0</v>
      </c>
      <c r="AX268" s="56">
        <f>NGT_TO!AX343</f>
        <v>0</v>
      </c>
      <c r="AY268" s="186">
        <f>NGT_TO!AY343</f>
        <v>0</v>
      </c>
      <c r="AZ268"/>
      <c r="BA268" s="44" t="str">
        <f t="shared" ca="1" si="17"/>
        <v>VariantAllowances</v>
      </c>
      <c r="BB268" s="44" t="str">
        <f t="shared" si="15"/>
        <v>TO variant allowances</v>
      </c>
      <c r="BC268" s="44" t="str">
        <f t="shared" si="16"/>
        <v>Variant allowances percentage allocation</v>
      </c>
    </row>
    <row r="269" spans="5:55">
      <c r="E269" s="212" t="str">
        <f>NGT_TO!E344</f>
        <v>Bacton Enhanced Filtration re-opener</v>
      </c>
      <c r="G269" s="43" t="s">
        <v>33</v>
      </c>
      <c r="H269" s="43" t="str">
        <f>NGT_TO!H344</f>
        <v>Non-operational capex</v>
      </c>
      <c r="AU269" s="175">
        <f>NGT_TO!AU344</f>
        <v>0</v>
      </c>
      <c r="AV269" s="56">
        <f>NGT_TO!AV344</f>
        <v>0</v>
      </c>
      <c r="AW269" s="56">
        <f>NGT_TO!AW344</f>
        <v>0</v>
      </c>
      <c r="AX269" s="56">
        <f>NGT_TO!AX344</f>
        <v>0</v>
      </c>
      <c r="AY269" s="186">
        <f>NGT_TO!AY344</f>
        <v>0</v>
      </c>
      <c r="AZ269"/>
      <c r="BA269" s="44" t="str">
        <f t="shared" ca="1" si="17"/>
        <v>VariantAllowances</v>
      </c>
      <c r="BB269" s="44" t="str">
        <f t="shared" si="15"/>
        <v>TO variant allowances</v>
      </c>
      <c r="BC269" s="44" t="str">
        <f t="shared" si="16"/>
        <v>Variant allowances percentage allocation</v>
      </c>
    </row>
    <row r="270" spans="5:55">
      <c r="E270" s="212" t="str">
        <f>NGT_TO!E345</f>
        <v>Bacton Enhanced Filtration re-opener</v>
      </c>
      <c r="G270" s="43" t="s">
        <v>33</v>
      </c>
      <c r="H270" s="43" t="str">
        <f>NGT_TO!H345</f>
        <v>Non-load (opex)</v>
      </c>
      <c r="AU270" s="175">
        <f>NGT_TO!AU345</f>
        <v>0</v>
      </c>
      <c r="AV270" s="56">
        <f>NGT_TO!AV345</f>
        <v>0</v>
      </c>
      <c r="AW270" s="56">
        <f>NGT_TO!AW345</f>
        <v>0</v>
      </c>
      <c r="AX270" s="56">
        <f>NGT_TO!AX345</f>
        <v>0</v>
      </c>
      <c r="AY270" s="186">
        <f>NGT_TO!AY345</f>
        <v>0</v>
      </c>
      <c r="AZ270"/>
      <c r="BA270" s="44" t="str">
        <f t="shared" ca="1" si="17"/>
        <v>VariantAllowances</v>
      </c>
      <c r="BB270" s="44" t="str">
        <f t="shared" si="15"/>
        <v>TO variant allowances</v>
      </c>
      <c r="BC270" s="44" t="str">
        <f t="shared" si="16"/>
        <v>Variant allowances percentage allocation</v>
      </c>
    </row>
    <row r="271" spans="5:55">
      <c r="E271" s="201" t="str">
        <f>NGT_TO!E346</f>
        <v>Bacton Enhanced Filtration re-opener</v>
      </c>
      <c r="F271" s="225"/>
      <c r="G271" s="202" t="s">
        <v>33</v>
      </c>
      <c r="H271" s="202" t="str">
        <f>NGT_TO!H346</f>
        <v>Indirects (opex)</v>
      </c>
      <c r="I271" s="202"/>
      <c r="J271" s="202"/>
      <c r="K271" s="202"/>
      <c r="L271" s="202"/>
      <c r="M271" s="202"/>
      <c r="N271" s="202"/>
      <c r="O271" s="202"/>
      <c r="P271" s="202"/>
      <c r="Q271" s="202"/>
      <c r="R271" s="202"/>
      <c r="S271" s="202"/>
      <c r="T271" s="202"/>
      <c r="U271" s="202"/>
      <c r="V271" s="202"/>
      <c r="W271" s="202"/>
      <c r="X271" s="202"/>
      <c r="Y271" s="202"/>
      <c r="Z271" s="202"/>
      <c r="AA271" s="202"/>
      <c r="AB271" s="202"/>
      <c r="AC271" s="202"/>
      <c r="AD271" s="202"/>
      <c r="AE271" s="202"/>
      <c r="AF271" s="202"/>
      <c r="AG271" s="202"/>
      <c r="AH271" s="202"/>
      <c r="AI271" s="202"/>
      <c r="AJ271" s="202"/>
      <c r="AK271" s="202"/>
      <c r="AL271" s="202"/>
      <c r="AM271" s="202"/>
      <c r="AN271" s="202"/>
      <c r="AO271" s="202"/>
      <c r="AP271" s="202"/>
      <c r="AQ271" s="202"/>
      <c r="AR271" s="202"/>
      <c r="AS271" s="202"/>
      <c r="AT271" s="203"/>
      <c r="AU271" s="226">
        <f>NGT_TO!AU346</f>
        <v>0</v>
      </c>
      <c r="AV271" s="227">
        <f>NGT_TO!AV346</f>
        <v>0</v>
      </c>
      <c r="AW271" s="227">
        <f>NGT_TO!AW346</f>
        <v>0</v>
      </c>
      <c r="AX271" s="227">
        <f>NGT_TO!AX346</f>
        <v>0</v>
      </c>
      <c r="AY271" s="228">
        <f>NGT_TO!AY346</f>
        <v>0</v>
      </c>
      <c r="AZ271"/>
      <c r="BA271" s="44" t="str">
        <f t="shared" ca="1" si="17"/>
        <v>VariantAllowances</v>
      </c>
      <c r="BB271" s="44" t="str">
        <f t="shared" si="15"/>
        <v>TO variant allowances</v>
      </c>
      <c r="BC271" s="44" t="str">
        <f t="shared" si="16"/>
        <v>Variant allowances percentage allocation</v>
      </c>
    </row>
    <row r="272" spans="5:55">
      <c r="E272" s="195" t="str">
        <f>NGT_TO!E347</f>
        <v>Network decarbonisation and emissions compliance Re-opener</v>
      </c>
      <c r="F272" s="221"/>
      <c r="G272" s="196" t="s">
        <v>33</v>
      </c>
      <c r="H272" s="196" t="str">
        <f>NGT_TO!H347</f>
        <v>Load related capex</v>
      </c>
      <c r="I272" s="196"/>
      <c r="J272" s="196"/>
      <c r="K272" s="196"/>
      <c r="L272" s="196"/>
      <c r="M272" s="196"/>
      <c r="N272" s="196"/>
      <c r="O272" s="196"/>
      <c r="P272" s="196"/>
      <c r="Q272" s="196"/>
      <c r="R272" s="196"/>
      <c r="S272" s="196"/>
      <c r="T272" s="196"/>
      <c r="U272" s="196"/>
      <c r="V272" s="196"/>
      <c r="W272" s="196"/>
      <c r="X272" s="196"/>
      <c r="Y272" s="196"/>
      <c r="Z272" s="196"/>
      <c r="AA272" s="196"/>
      <c r="AB272" s="196"/>
      <c r="AC272" s="196"/>
      <c r="AD272" s="196"/>
      <c r="AE272" s="196"/>
      <c r="AF272" s="196"/>
      <c r="AG272" s="196"/>
      <c r="AH272" s="196"/>
      <c r="AI272" s="196"/>
      <c r="AJ272" s="196"/>
      <c r="AK272" s="196"/>
      <c r="AL272" s="196"/>
      <c r="AM272" s="196"/>
      <c r="AN272" s="196"/>
      <c r="AO272" s="196"/>
      <c r="AP272" s="196"/>
      <c r="AQ272" s="196"/>
      <c r="AR272" s="196"/>
      <c r="AS272" s="196"/>
      <c r="AT272" s="197"/>
      <c r="AU272" s="222">
        <f>NGT_TO!AU347</f>
        <v>0</v>
      </c>
      <c r="AV272" s="223">
        <f>NGT_TO!AV347</f>
        <v>0</v>
      </c>
      <c r="AW272" s="223">
        <f>NGT_TO!AW347</f>
        <v>0</v>
      </c>
      <c r="AX272" s="223">
        <f>NGT_TO!AX347</f>
        <v>0</v>
      </c>
      <c r="AY272" s="224">
        <f>NGT_TO!AY347</f>
        <v>0</v>
      </c>
      <c r="AZ272"/>
      <c r="BA272" s="44" t="str">
        <f t="shared" ca="1" si="17"/>
        <v>VariantAllowances</v>
      </c>
      <c r="BB272" s="44" t="str">
        <f t="shared" si="15"/>
        <v>TO variant allowances</v>
      </c>
      <c r="BC272" s="44" t="str">
        <f t="shared" si="16"/>
        <v>Variant allowances percentage allocation</v>
      </c>
    </row>
    <row r="273" spans="5:55">
      <c r="E273" s="212" t="str">
        <f>NGT_TO!E348</f>
        <v>Network decarbonisation and emissions compliance Re-opener</v>
      </c>
      <c r="G273" s="43" t="s">
        <v>33</v>
      </c>
      <c r="H273" s="43" t="str">
        <f>NGT_TO!H348</f>
        <v>Asset replacement capex</v>
      </c>
      <c r="AU273" s="175">
        <f>NGT_TO!AU348</f>
        <v>0</v>
      </c>
      <c r="AV273" s="56">
        <f>NGT_TO!AV348</f>
        <v>0</v>
      </c>
      <c r="AW273" s="56">
        <f>NGT_TO!AW348</f>
        <v>0</v>
      </c>
      <c r="AX273" s="56">
        <f>NGT_TO!AX348</f>
        <v>0</v>
      </c>
      <c r="AY273" s="186">
        <f>NGT_TO!AY348</f>
        <v>0</v>
      </c>
      <c r="AZ273"/>
      <c r="BA273" s="44" t="str">
        <f t="shared" ca="1" si="17"/>
        <v>VariantAllowances</v>
      </c>
      <c r="BB273" s="44" t="str">
        <f t="shared" si="15"/>
        <v>TO variant allowances</v>
      </c>
      <c r="BC273" s="44" t="str">
        <f t="shared" si="16"/>
        <v>Variant allowances percentage allocation</v>
      </c>
    </row>
    <row r="274" spans="5:55">
      <c r="E274" s="212" t="str">
        <f>NGT_TO!E349</f>
        <v>Network decarbonisation and emissions compliance Re-opener</v>
      </c>
      <c r="G274" s="43" t="s">
        <v>33</v>
      </c>
      <c r="H274" s="43" t="str">
        <f>NGT_TO!H349</f>
        <v>Other capex</v>
      </c>
      <c r="AU274" s="175">
        <f>NGT_TO!AU349</f>
        <v>0</v>
      </c>
      <c r="AV274" s="56">
        <f>NGT_TO!AV349</f>
        <v>0</v>
      </c>
      <c r="AW274" s="56">
        <f>NGT_TO!AW349</f>
        <v>0</v>
      </c>
      <c r="AX274" s="56">
        <f>NGT_TO!AX349</f>
        <v>0</v>
      </c>
      <c r="AY274" s="186">
        <f>NGT_TO!AY349</f>
        <v>0</v>
      </c>
      <c r="AZ274"/>
      <c r="BA274" s="44" t="str">
        <f t="shared" ca="1" si="17"/>
        <v>VariantAllowances</v>
      </c>
      <c r="BB274" s="44" t="str">
        <f t="shared" si="15"/>
        <v>TO variant allowances</v>
      </c>
      <c r="BC274" s="44" t="str">
        <f t="shared" si="16"/>
        <v>Variant allowances percentage allocation</v>
      </c>
    </row>
    <row r="275" spans="5:55">
      <c r="E275" s="212" t="str">
        <f>NGT_TO!E350</f>
        <v>Network decarbonisation and emissions compliance Re-opener</v>
      </c>
      <c r="G275" s="43" t="s">
        <v>33</v>
      </c>
      <c r="H275" s="43" t="str">
        <f>NGT_TO!H350</f>
        <v>Non-operational capex</v>
      </c>
      <c r="AU275" s="175">
        <f>NGT_TO!AU350</f>
        <v>0</v>
      </c>
      <c r="AV275" s="56">
        <f>NGT_TO!AV350</f>
        <v>0</v>
      </c>
      <c r="AW275" s="56">
        <f>NGT_TO!AW350</f>
        <v>0</v>
      </c>
      <c r="AX275" s="56">
        <f>NGT_TO!AX350</f>
        <v>0</v>
      </c>
      <c r="AY275" s="186">
        <f>NGT_TO!AY350</f>
        <v>0</v>
      </c>
      <c r="AZ275"/>
      <c r="BA275" s="44" t="str">
        <f t="shared" ca="1" si="17"/>
        <v>VariantAllowances</v>
      </c>
      <c r="BB275" s="44" t="str">
        <f t="shared" si="15"/>
        <v>TO variant allowances</v>
      </c>
      <c r="BC275" s="44" t="str">
        <f t="shared" si="16"/>
        <v>Variant allowances percentage allocation</v>
      </c>
    </row>
    <row r="276" spans="5:55">
      <c r="E276" s="212" t="str">
        <f>NGT_TO!E351</f>
        <v>Network decarbonisation and emissions compliance Re-opener</v>
      </c>
      <c r="G276" s="43" t="s">
        <v>33</v>
      </c>
      <c r="H276" s="43" t="str">
        <f>NGT_TO!H351</f>
        <v>Non-load (opex)</v>
      </c>
      <c r="AU276" s="175">
        <f>NGT_TO!AU351</f>
        <v>0</v>
      </c>
      <c r="AV276" s="56">
        <f>NGT_TO!AV351</f>
        <v>0</v>
      </c>
      <c r="AW276" s="56">
        <f>NGT_TO!AW351</f>
        <v>0</v>
      </c>
      <c r="AX276" s="56">
        <f>NGT_TO!AX351</f>
        <v>0</v>
      </c>
      <c r="AY276" s="186">
        <f>NGT_TO!AY351</f>
        <v>0</v>
      </c>
      <c r="AZ276"/>
      <c r="BA276" s="44" t="str">
        <f t="shared" ca="1" si="17"/>
        <v>VariantAllowances</v>
      </c>
      <c r="BB276" s="44" t="str">
        <f t="shared" si="15"/>
        <v>TO variant allowances</v>
      </c>
      <c r="BC276" s="44" t="str">
        <f t="shared" si="16"/>
        <v>Variant allowances percentage allocation</v>
      </c>
    </row>
    <row r="277" spans="5:55">
      <c r="E277" s="201" t="str">
        <f>NGT_TO!E352</f>
        <v>Network decarbonisation and emissions compliance Re-opener</v>
      </c>
      <c r="F277" s="225"/>
      <c r="G277" s="202" t="s">
        <v>33</v>
      </c>
      <c r="H277" s="202" t="str">
        <f>NGT_TO!H352</f>
        <v>Indirects (opex)</v>
      </c>
      <c r="I277" s="202"/>
      <c r="J277" s="202"/>
      <c r="K277" s="202"/>
      <c r="L277" s="202"/>
      <c r="M277" s="202"/>
      <c r="N277" s="202"/>
      <c r="O277" s="202"/>
      <c r="P277" s="202"/>
      <c r="Q277" s="202"/>
      <c r="R277" s="202"/>
      <c r="S277" s="202"/>
      <c r="T277" s="202"/>
      <c r="U277" s="202"/>
      <c r="V277" s="202"/>
      <c r="W277" s="202"/>
      <c r="X277" s="202"/>
      <c r="Y277" s="202"/>
      <c r="Z277" s="202"/>
      <c r="AA277" s="202"/>
      <c r="AB277" s="202"/>
      <c r="AC277" s="202"/>
      <c r="AD277" s="202"/>
      <c r="AE277" s="202"/>
      <c r="AF277" s="202"/>
      <c r="AG277" s="202"/>
      <c r="AH277" s="202"/>
      <c r="AI277" s="202"/>
      <c r="AJ277" s="202"/>
      <c r="AK277" s="202"/>
      <c r="AL277" s="202"/>
      <c r="AM277" s="202"/>
      <c r="AN277" s="202"/>
      <c r="AO277" s="202"/>
      <c r="AP277" s="202"/>
      <c r="AQ277" s="202"/>
      <c r="AR277" s="202"/>
      <c r="AS277" s="202"/>
      <c r="AT277" s="203"/>
      <c r="AU277" s="226">
        <f>NGT_TO!AU352</f>
        <v>0</v>
      </c>
      <c r="AV277" s="227">
        <f>NGT_TO!AV352</f>
        <v>0</v>
      </c>
      <c r="AW277" s="227">
        <f>NGT_TO!AW352</f>
        <v>0</v>
      </c>
      <c r="AX277" s="227">
        <f>NGT_TO!AX352</f>
        <v>0</v>
      </c>
      <c r="AY277" s="228">
        <f>NGT_TO!AY352</f>
        <v>0</v>
      </c>
      <c r="AZ277"/>
      <c r="BA277" s="44" t="str">
        <f t="shared" ca="1" si="17"/>
        <v>VariantAllowances</v>
      </c>
      <c r="BB277" s="44" t="str">
        <f t="shared" si="15"/>
        <v>TO variant allowances</v>
      </c>
      <c r="BC277" s="44" t="str">
        <f t="shared" si="16"/>
        <v>Variant allowances percentage allocation</v>
      </c>
    </row>
    <row r="278" spans="5:55">
      <c r="E278" s="195" t="str">
        <f>NGT_TO!E353</f>
        <v>Compressor acoustic building replacement Price Control Deliverable</v>
      </c>
      <c r="F278" s="221"/>
      <c r="G278" s="196" t="s">
        <v>33</v>
      </c>
      <c r="H278" s="196" t="str">
        <f>NGT_TO!H353</f>
        <v>Load related capex</v>
      </c>
      <c r="I278" s="196"/>
      <c r="J278" s="196"/>
      <c r="K278" s="196"/>
      <c r="L278" s="196"/>
      <c r="M278" s="196"/>
      <c r="N278" s="196"/>
      <c r="O278" s="196"/>
      <c r="P278" s="196"/>
      <c r="Q278" s="196"/>
      <c r="R278" s="196"/>
      <c r="S278" s="196"/>
      <c r="T278" s="196"/>
      <c r="U278" s="196"/>
      <c r="V278" s="196"/>
      <c r="W278" s="196"/>
      <c r="X278" s="196"/>
      <c r="Y278" s="196"/>
      <c r="Z278" s="196"/>
      <c r="AA278" s="196"/>
      <c r="AB278" s="196"/>
      <c r="AC278" s="196"/>
      <c r="AD278" s="196"/>
      <c r="AE278" s="196"/>
      <c r="AF278" s="196"/>
      <c r="AG278" s="196"/>
      <c r="AH278" s="196"/>
      <c r="AI278" s="196"/>
      <c r="AJ278" s="196"/>
      <c r="AK278" s="196"/>
      <c r="AL278" s="196"/>
      <c r="AM278" s="196"/>
      <c r="AN278" s="196"/>
      <c r="AO278" s="196"/>
      <c r="AP278" s="196"/>
      <c r="AQ278" s="196"/>
      <c r="AR278" s="196"/>
      <c r="AS278" s="196"/>
      <c r="AT278" s="197"/>
      <c r="AU278" s="222">
        <f>NGT_TO!AU353</f>
        <v>0</v>
      </c>
      <c r="AV278" s="223">
        <f>NGT_TO!AV353</f>
        <v>0</v>
      </c>
      <c r="AW278" s="223">
        <f>NGT_TO!AW353</f>
        <v>0</v>
      </c>
      <c r="AX278" s="223">
        <f>NGT_TO!AX353</f>
        <v>0</v>
      </c>
      <c r="AY278" s="224">
        <f>NGT_TO!AY353</f>
        <v>0</v>
      </c>
      <c r="AZ278"/>
      <c r="BA278" s="44" t="str">
        <f t="shared" ca="1" si="17"/>
        <v>VariantAllowances</v>
      </c>
      <c r="BB278" s="44" t="str">
        <f t="shared" si="15"/>
        <v>TO variant allowances</v>
      </c>
      <c r="BC278" s="44" t="str">
        <f t="shared" si="16"/>
        <v>Variant allowances percentage allocation</v>
      </c>
    </row>
    <row r="279" spans="5:55">
      <c r="E279" s="212" t="str">
        <f>NGT_TO!E354</f>
        <v>Compressor acoustic building replacement Price Control Deliverable</v>
      </c>
      <c r="G279" s="43" t="s">
        <v>33</v>
      </c>
      <c r="H279" s="43" t="str">
        <f>NGT_TO!H354</f>
        <v>Asset replacement capex</v>
      </c>
      <c r="AU279" s="175">
        <f>NGT_TO!AU354</f>
        <v>1</v>
      </c>
      <c r="AV279" s="56">
        <f>NGT_TO!AV354</f>
        <v>1</v>
      </c>
      <c r="AW279" s="56">
        <f>NGT_TO!AW354</f>
        <v>1</v>
      </c>
      <c r="AX279" s="56">
        <f>NGT_TO!AX354</f>
        <v>1</v>
      </c>
      <c r="AY279" s="186">
        <f>NGT_TO!AY354</f>
        <v>1</v>
      </c>
      <c r="AZ279"/>
      <c r="BA279" s="44" t="str">
        <f t="shared" ca="1" si="17"/>
        <v>VariantAllowances</v>
      </c>
      <c r="BB279" s="44" t="str">
        <f t="shared" si="15"/>
        <v>TO variant allowances</v>
      </c>
      <c r="BC279" s="44" t="str">
        <f t="shared" si="16"/>
        <v>Variant allowances percentage allocation</v>
      </c>
    </row>
    <row r="280" spans="5:55">
      <c r="E280" s="212" t="str">
        <f>NGT_TO!E355</f>
        <v>Compressor acoustic building replacement Price Control Deliverable</v>
      </c>
      <c r="G280" s="43" t="s">
        <v>33</v>
      </c>
      <c r="H280" s="43" t="str">
        <f>NGT_TO!H355</f>
        <v>Other capex</v>
      </c>
      <c r="AU280" s="175">
        <f>NGT_TO!AU355</f>
        <v>0</v>
      </c>
      <c r="AV280" s="56">
        <f>NGT_TO!AV355</f>
        <v>0</v>
      </c>
      <c r="AW280" s="56">
        <f>NGT_TO!AW355</f>
        <v>0</v>
      </c>
      <c r="AX280" s="56">
        <f>NGT_TO!AX355</f>
        <v>0</v>
      </c>
      <c r="AY280" s="186">
        <f>NGT_TO!AY355</f>
        <v>0</v>
      </c>
      <c r="AZ280"/>
      <c r="BA280" s="44" t="str">
        <f t="shared" ca="1" si="17"/>
        <v>VariantAllowances</v>
      </c>
      <c r="BB280" s="44" t="str">
        <f t="shared" si="15"/>
        <v>TO variant allowances</v>
      </c>
      <c r="BC280" s="44" t="str">
        <f t="shared" si="16"/>
        <v>Variant allowances percentage allocation</v>
      </c>
    </row>
    <row r="281" spans="5:55">
      <c r="E281" s="212" t="str">
        <f>NGT_TO!E356</f>
        <v>Compressor acoustic building replacement Price Control Deliverable</v>
      </c>
      <c r="G281" s="43" t="s">
        <v>33</v>
      </c>
      <c r="H281" s="43" t="str">
        <f>NGT_TO!H356</f>
        <v>Non-operational capex</v>
      </c>
      <c r="AU281" s="175">
        <f>NGT_TO!AU356</f>
        <v>0</v>
      </c>
      <c r="AV281" s="56">
        <f>NGT_TO!AV356</f>
        <v>0</v>
      </c>
      <c r="AW281" s="56">
        <f>NGT_TO!AW356</f>
        <v>0</v>
      </c>
      <c r="AX281" s="56">
        <f>NGT_TO!AX356</f>
        <v>0</v>
      </c>
      <c r="AY281" s="186">
        <f>NGT_TO!AY356</f>
        <v>0</v>
      </c>
      <c r="AZ281"/>
      <c r="BA281" s="44" t="str">
        <f t="shared" ca="1" si="17"/>
        <v>VariantAllowances</v>
      </c>
      <c r="BB281" s="44" t="str">
        <f t="shared" si="15"/>
        <v>TO variant allowances</v>
      </c>
      <c r="BC281" s="44" t="str">
        <f t="shared" si="16"/>
        <v>Variant allowances percentage allocation</v>
      </c>
    </row>
    <row r="282" spans="5:55">
      <c r="E282" s="212" t="str">
        <f>NGT_TO!E357</f>
        <v>Compressor acoustic building replacement Price Control Deliverable</v>
      </c>
      <c r="G282" s="43" t="s">
        <v>33</v>
      </c>
      <c r="H282" s="43" t="str">
        <f>NGT_TO!H357</f>
        <v>Non-load (opex)</v>
      </c>
      <c r="AU282" s="175">
        <f>NGT_TO!AU357</f>
        <v>0</v>
      </c>
      <c r="AV282" s="56">
        <f>NGT_TO!AV357</f>
        <v>0</v>
      </c>
      <c r="AW282" s="56">
        <f>NGT_TO!AW357</f>
        <v>0</v>
      </c>
      <c r="AX282" s="56">
        <f>NGT_TO!AX357</f>
        <v>0</v>
      </c>
      <c r="AY282" s="186">
        <f>NGT_TO!AY357</f>
        <v>0</v>
      </c>
      <c r="AZ282"/>
      <c r="BA282" s="44" t="str">
        <f t="shared" ca="1" si="17"/>
        <v>VariantAllowances</v>
      </c>
      <c r="BB282" s="44" t="str">
        <f t="shared" si="15"/>
        <v>TO variant allowances</v>
      </c>
      <c r="BC282" s="44" t="str">
        <f t="shared" si="16"/>
        <v>Variant allowances percentage allocation</v>
      </c>
    </row>
    <row r="283" spans="5:55">
      <c r="E283" s="201" t="str">
        <f>NGT_TO!E358</f>
        <v>Compressor acoustic building replacement Price Control Deliverable</v>
      </c>
      <c r="F283" s="225"/>
      <c r="G283" s="202" t="s">
        <v>33</v>
      </c>
      <c r="H283" s="202" t="str">
        <f>NGT_TO!H358</f>
        <v>Indirects (opex)</v>
      </c>
      <c r="I283" s="202"/>
      <c r="J283" s="202"/>
      <c r="K283" s="202"/>
      <c r="L283" s="202"/>
      <c r="M283" s="202"/>
      <c r="N283" s="202"/>
      <c r="O283" s="202"/>
      <c r="P283" s="202"/>
      <c r="Q283" s="202"/>
      <c r="R283" s="202"/>
      <c r="S283" s="202"/>
      <c r="T283" s="202"/>
      <c r="U283" s="202"/>
      <c r="V283" s="202"/>
      <c r="W283" s="202"/>
      <c r="X283" s="202"/>
      <c r="Y283" s="202"/>
      <c r="Z283" s="202"/>
      <c r="AA283" s="202"/>
      <c r="AB283" s="202"/>
      <c r="AC283" s="202"/>
      <c r="AD283" s="202"/>
      <c r="AE283" s="202"/>
      <c r="AF283" s="202"/>
      <c r="AG283" s="202"/>
      <c r="AH283" s="202"/>
      <c r="AI283" s="202"/>
      <c r="AJ283" s="202"/>
      <c r="AK283" s="202"/>
      <c r="AL283" s="202"/>
      <c r="AM283" s="202"/>
      <c r="AN283" s="202"/>
      <c r="AO283" s="202"/>
      <c r="AP283" s="202"/>
      <c r="AQ283" s="202"/>
      <c r="AR283" s="202"/>
      <c r="AS283" s="202"/>
      <c r="AT283" s="203"/>
      <c r="AU283" s="226">
        <f>NGT_TO!AU358</f>
        <v>0</v>
      </c>
      <c r="AV283" s="227">
        <f>NGT_TO!AV358</f>
        <v>0</v>
      </c>
      <c r="AW283" s="227">
        <f>NGT_TO!AW358</f>
        <v>0</v>
      </c>
      <c r="AX283" s="227">
        <f>NGT_TO!AX358</f>
        <v>0</v>
      </c>
      <c r="AY283" s="228">
        <f>NGT_TO!AY358</f>
        <v>0</v>
      </c>
      <c r="AZ283"/>
      <c r="BA283" s="44" t="str">
        <f t="shared" ca="1" si="17"/>
        <v>VariantAllowances</v>
      </c>
      <c r="BB283" s="44" t="str">
        <f t="shared" si="15"/>
        <v>TO variant allowances</v>
      </c>
      <c r="BC283" s="44" t="str">
        <f t="shared" si="16"/>
        <v>Variant allowances percentage allocation</v>
      </c>
    </row>
    <row r="284" spans="5:55">
      <c r="E284" s="195" t="str">
        <f>NGT_TO!E359</f>
        <v>Easement Reinstatement Price Control Deliverable</v>
      </c>
      <c r="F284" s="221"/>
      <c r="G284" s="196" t="s">
        <v>33</v>
      </c>
      <c r="H284" s="196" t="str">
        <f>NGT_TO!H359</f>
        <v>Load related capex</v>
      </c>
      <c r="I284" s="196"/>
      <c r="J284" s="196"/>
      <c r="K284" s="196"/>
      <c r="L284" s="196"/>
      <c r="M284" s="196"/>
      <c r="N284" s="196"/>
      <c r="O284" s="196"/>
      <c r="P284" s="196"/>
      <c r="Q284" s="196"/>
      <c r="R284" s="196"/>
      <c r="S284" s="196"/>
      <c r="T284" s="196"/>
      <c r="U284" s="196"/>
      <c r="V284" s="196"/>
      <c r="W284" s="196"/>
      <c r="X284" s="196"/>
      <c r="Y284" s="196"/>
      <c r="Z284" s="196"/>
      <c r="AA284" s="196"/>
      <c r="AB284" s="196"/>
      <c r="AC284" s="196"/>
      <c r="AD284" s="196"/>
      <c r="AE284" s="196"/>
      <c r="AF284" s="196"/>
      <c r="AG284" s="196"/>
      <c r="AH284" s="196"/>
      <c r="AI284" s="196"/>
      <c r="AJ284" s="196"/>
      <c r="AK284" s="196"/>
      <c r="AL284" s="196"/>
      <c r="AM284" s="196"/>
      <c r="AN284" s="196"/>
      <c r="AO284" s="196"/>
      <c r="AP284" s="196"/>
      <c r="AQ284" s="196"/>
      <c r="AR284" s="196"/>
      <c r="AS284" s="196"/>
      <c r="AT284" s="197"/>
      <c r="AU284" s="222">
        <f>NGT_TO!AU359</f>
        <v>0</v>
      </c>
      <c r="AV284" s="223">
        <f>NGT_TO!AV359</f>
        <v>0</v>
      </c>
      <c r="AW284" s="223">
        <f>NGT_TO!AW359</f>
        <v>0</v>
      </c>
      <c r="AX284" s="223">
        <f>NGT_TO!AX359</f>
        <v>0</v>
      </c>
      <c r="AY284" s="224">
        <f>NGT_TO!AY359</f>
        <v>0</v>
      </c>
      <c r="AZ284"/>
      <c r="BA284" s="44" t="str">
        <f t="shared" ca="1" si="17"/>
        <v>VariantAllowances</v>
      </c>
      <c r="BB284" s="44" t="str">
        <f t="shared" si="15"/>
        <v>TO variant allowances</v>
      </c>
      <c r="BC284" s="44" t="str">
        <f t="shared" si="16"/>
        <v>Variant allowances percentage allocation</v>
      </c>
    </row>
    <row r="285" spans="5:55">
      <c r="E285" s="212" t="str">
        <f>NGT_TO!E360</f>
        <v>Easement Reinstatement Price Control Deliverable</v>
      </c>
      <c r="G285" s="43" t="s">
        <v>33</v>
      </c>
      <c r="H285" s="43" t="str">
        <f>NGT_TO!H360</f>
        <v>Asset replacement capex</v>
      </c>
      <c r="AU285" s="175">
        <f>NGT_TO!AU360</f>
        <v>1</v>
      </c>
      <c r="AV285" s="56">
        <f>NGT_TO!AV360</f>
        <v>1</v>
      </c>
      <c r="AW285" s="56">
        <f>NGT_TO!AW360</f>
        <v>1</v>
      </c>
      <c r="AX285" s="56">
        <f>NGT_TO!AX360</f>
        <v>1</v>
      </c>
      <c r="AY285" s="186">
        <f>NGT_TO!AY360</f>
        <v>1</v>
      </c>
      <c r="AZ285"/>
      <c r="BA285" s="44" t="str">
        <f t="shared" ca="1" si="17"/>
        <v>VariantAllowances</v>
      </c>
      <c r="BB285" s="44" t="str">
        <f t="shared" si="15"/>
        <v>TO variant allowances</v>
      </c>
      <c r="BC285" s="44" t="str">
        <f t="shared" si="16"/>
        <v>Variant allowances percentage allocation</v>
      </c>
    </row>
    <row r="286" spans="5:55">
      <c r="E286" s="212" t="str">
        <f>NGT_TO!E361</f>
        <v>Easement Reinstatement Price Control Deliverable</v>
      </c>
      <c r="G286" s="43" t="s">
        <v>33</v>
      </c>
      <c r="H286" s="43" t="str">
        <f>NGT_TO!H361</f>
        <v>Other capex</v>
      </c>
      <c r="AU286" s="175">
        <f>NGT_TO!AU361</f>
        <v>0</v>
      </c>
      <c r="AV286" s="56">
        <f>NGT_TO!AV361</f>
        <v>0</v>
      </c>
      <c r="AW286" s="56">
        <f>NGT_TO!AW361</f>
        <v>0</v>
      </c>
      <c r="AX286" s="56">
        <f>NGT_TO!AX361</f>
        <v>0</v>
      </c>
      <c r="AY286" s="186">
        <f>NGT_TO!AY361</f>
        <v>0</v>
      </c>
      <c r="AZ286"/>
      <c r="BA286" s="44" t="str">
        <f t="shared" ca="1" si="17"/>
        <v>VariantAllowances</v>
      </c>
      <c r="BB286" s="44" t="str">
        <f t="shared" si="15"/>
        <v>TO variant allowances</v>
      </c>
      <c r="BC286" s="44" t="str">
        <f t="shared" si="16"/>
        <v>Variant allowances percentage allocation</v>
      </c>
    </row>
    <row r="287" spans="5:55">
      <c r="E287" s="212" t="str">
        <f>NGT_TO!E362</f>
        <v>Easement Reinstatement Price Control Deliverable</v>
      </c>
      <c r="G287" s="43" t="s">
        <v>33</v>
      </c>
      <c r="H287" s="43" t="str">
        <f>NGT_TO!H362</f>
        <v>Non-operational capex</v>
      </c>
      <c r="AU287" s="175">
        <f>NGT_TO!AU362</f>
        <v>0</v>
      </c>
      <c r="AV287" s="56">
        <f>NGT_TO!AV362</f>
        <v>0</v>
      </c>
      <c r="AW287" s="56">
        <f>NGT_TO!AW362</f>
        <v>0</v>
      </c>
      <c r="AX287" s="56">
        <f>NGT_TO!AX362</f>
        <v>0</v>
      </c>
      <c r="AY287" s="186">
        <f>NGT_TO!AY362</f>
        <v>0</v>
      </c>
      <c r="AZ287"/>
      <c r="BA287" s="44" t="str">
        <f t="shared" ca="1" si="17"/>
        <v>VariantAllowances</v>
      </c>
      <c r="BB287" s="44" t="str">
        <f t="shared" si="15"/>
        <v>TO variant allowances</v>
      </c>
      <c r="BC287" s="44" t="str">
        <f t="shared" si="16"/>
        <v>Variant allowances percentage allocation</v>
      </c>
    </row>
    <row r="288" spans="5:55">
      <c r="E288" s="212" t="str">
        <f>NGT_TO!E363</f>
        <v>Easement Reinstatement Price Control Deliverable</v>
      </c>
      <c r="G288" s="43" t="s">
        <v>33</v>
      </c>
      <c r="H288" s="43" t="str">
        <f>NGT_TO!H363</f>
        <v>Non-load (opex)</v>
      </c>
      <c r="AU288" s="175">
        <f>NGT_TO!AU363</f>
        <v>0</v>
      </c>
      <c r="AV288" s="56">
        <f>NGT_TO!AV363</f>
        <v>0</v>
      </c>
      <c r="AW288" s="56">
        <f>NGT_TO!AW363</f>
        <v>0</v>
      </c>
      <c r="AX288" s="56">
        <f>NGT_TO!AX363</f>
        <v>0</v>
      </c>
      <c r="AY288" s="186">
        <f>NGT_TO!AY363</f>
        <v>0</v>
      </c>
      <c r="AZ288"/>
      <c r="BA288" s="44" t="str">
        <f t="shared" ca="1" si="17"/>
        <v>VariantAllowances</v>
      </c>
      <c r="BB288" s="44" t="str">
        <f t="shared" si="15"/>
        <v>TO variant allowances</v>
      </c>
      <c r="BC288" s="44" t="str">
        <f t="shared" si="16"/>
        <v>Variant allowances percentage allocation</v>
      </c>
    </row>
    <row r="289" spans="5:55">
      <c r="E289" s="201" t="str">
        <f>NGT_TO!E364</f>
        <v>Easement Reinstatement Price Control Deliverable</v>
      </c>
      <c r="F289" s="225"/>
      <c r="G289" s="202" t="s">
        <v>33</v>
      </c>
      <c r="H289" s="202" t="str">
        <f>NGT_TO!H364</f>
        <v>Indirects (opex)</v>
      </c>
      <c r="I289" s="202"/>
      <c r="J289" s="202"/>
      <c r="K289" s="202"/>
      <c r="L289" s="202"/>
      <c r="M289" s="202"/>
      <c r="N289" s="202"/>
      <c r="O289" s="202"/>
      <c r="P289" s="202"/>
      <c r="Q289" s="202"/>
      <c r="R289" s="202"/>
      <c r="S289" s="202"/>
      <c r="T289" s="202"/>
      <c r="U289" s="202"/>
      <c r="V289" s="202"/>
      <c r="W289" s="202"/>
      <c r="X289" s="202"/>
      <c r="Y289" s="202"/>
      <c r="Z289" s="202"/>
      <c r="AA289" s="202"/>
      <c r="AB289" s="202"/>
      <c r="AC289" s="202"/>
      <c r="AD289" s="202"/>
      <c r="AE289" s="202"/>
      <c r="AF289" s="202"/>
      <c r="AG289" s="202"/>
      <c r="AH289" s="202"/>
      <c r="AI289" s="202"/>
      <c r="AJ289" s="202"/>
      <c r="AK289" s="202"/>
      <c r="AL289" s="202"/>
      <c r="AM289" s="202"/>
      <c r="AN289" s="202"/>
      <c r="AO289" s="202"/>
      <c r="AP289" s="202"/>
      <c r="AQ289" s="202"/>
      <c r="AR289" s="202"/>
      <c r="AS289" s="202"/>
      <c r="AT289" s="203"/>
      <c r="AU289" s="226">
        <f>NGT_TO!AU364</f>
        <v>0</v>
      </c>
      <c r="AV289" s="227">
        <f>NGT_TO!AV364</f>
        <v>0</v>
      </c>
      <c r="AW289" s="227">
        <f>NGT_TO!AW364</f>
        <v>0</v>
      </c>
      <c r="AX289" s="227">
        <f>NGT_TO!AX364</f>
        <v>0</v>
      </c>
      <c r="AY289" s="228">
        <f>NGT_TO!AY364</f>
        <v>0</v>
      </c>
      <c r="AZ289"/>
      <c r="BA289" s="44" t="str">
        <f t="shared" ca="1" si="17"/>
        <v>VariantAllowances</v>
      </c>
      <c r="BB289" s="44" t="str">
        <f t="shared" si="15"/>
        <v>TO variant allowances</v>
      </c>
      <c r="BC289" s="44" t="str">
        <f t="shared" si="16"/>
        <v>Variant allowances percentage allocation</v>
      </c>
    </row>
    <row r="290" spans="5:55">
      <c r="E290" s="195" t="str">
        <f>NGT_TO!E365</f>
        <v>Removal and remediation of pipe stabbings Price Control Deliverable</v>
      </c>
      <c r="F290" s="221"/>
      <c r="G290" s="196" t="s">
        <v>33</v>
      </c>
      <c r="H290" s="196" t="str">
        <f>NGT_TO!H365</f>
        <v>Load related capex</v>
      </c>
      <c r="I290" s="196"/>
      <c r="J290" s="196"/>
      <c r="K290" s="196"/>
      <c r="L290" s="196"/>
      <c r="M290" s="196"/>
      <c r="N290" s="196"/>
      <c r="O290" s="196"/>
      <c r="P290" s="196"/>
      <c r="Q290" s="196"/>
      <c r="R290" s="196"/>
      <c r="S290" s="196"/>
      <c r="T290" s="196"/>
      <c r="U290" s="196"/>
      <c r="V290" s="196"/>
      <c r="W290" s="196"/>
      <c r="X290" s="196"/>
      <c r="Y290" s="196"/>
      <c r="Z290" s="196"/>
      <c r="AA290" s="196"/>
      <c r="AB290" s="196"/>
      <c r="AC290" s="196"/>
      <c r="AD290" s="196"/>
      <c r="AE290" s="196"/>
      <c r="AF290" s="196"/>
      <c r="AG290" s="196"/>
      <c r="AH290" s="196"/>
      <c r="AI290" s="196"/>
      <c r="AJ290" s="196"/>
      <c r="AK290" s="196"/>
      <c r="AL290" s="196"/>
      <c r="AM290" s="196"/>
      <c r="AN290" s="196"/>
      <c r="AO290" s="196"/>
      <c r="AP290" s="196"/>
      <c r="AQ290" s="196"/>
      <c r="AR290" s="196"/>
      <c r="AS290" s="196"/>
      <c r="AT290" s="197"/>
      <c r="AU290" s="222">
        <f>NGT_TO!AU365</f>
        <v>0</v>
      </c>
      <c r="AV290" s="223">
        <f>NGT_TO!AV365</f>
        <v>0</v>
      </c>
      <c r="AW290" s="223">
        <f>NGT_TO!AW365</f>
        <v>0</v>
      </c>
      <c r="AX290" s="223">
        <f>NGT_TO!AX365</f>
        <v>0</v>
      </c>
      <c r="AY290" s="224">
        <f>NGT_TO!AY365</f>
        <v>0</v>
      </c>
      <c r="AZ290"/>
      <c r="BA290" s="44" t="str">
        <f t="shared" ca="1" si="17"/>
        <v>VariantAllowances</v>
      </c>
      <c r="BB290" s="44" t="str">
        <f t="shared" ref="BB290:BB353" si="18">$A$6</f>
        <v>TO variant allowances</v>
      </c>
      <c r="BC290" s="44" t="str">
        <f t="shared" ref="BC290:BC353" si="19">$B$97</f>
        <v>Variant allowances percentage allocation</v>
      </c>
    </row>
    <row r="291" spans="5:55">
      <c r="E291" s="212" t="str">
        <f>NGT_TO!E366</f>
        <v>Removal and remediation of pipe stabbings Price Control Deliverable</v>
      </c>
      <c r="G291" s="43" t="s">
        <v>33</v>
      </c>
      <c r="H291" s="43" t="str">
        <f>NGT_TO!H366</f>
        <v>Asset replacement capex</v>
      </c>
      <c r="AU291" s="175">
        <f>NGT_TO!AU366</f>
        <v>1</v>
      </c>
      <c r="AV291" s="56">
        <f>NGT_TO!AV366</f>
        <v>1</v>
      </c>
      <c r="AW291" s="56">
        <f>NGT_TO!AW366</f>
        <v>1</v>
      </c>
      <c r="AX291" s="56">
        <f>NGT_TO!AX366</f>
        <v>1</v>
      </c>
      <c r="AY291" s="186">
        <f>NGT_TO!AY366</f>
        <v>1</v>
      </c>
      <c r="AZ291"/>
      <c r="BA291" s="44" t="str">
        <f t="shared" ca="1" si="17"/>
        <v>VariantAllowances</v>
      </c>
      <c r="BB291" s="44" t="str">
        <f t="shared" si="18"/>
        <v>TO variant allowances</v>
      </c>
      <c r="BC291" s="44" t="str">
        <f t="shared" si="19"/>
        <v>Variant allowances percentage allocation</v>
      </c>
    </row>
    <row r="292" spans="5:55">
      <c r="E292" s="212" t="str">
        <f>NGT_TO!E367</f>
        <v>Removal and remediation of pipe stabbings Price Control Deliverable</v>
      </c>
      <c r="G292" s="43" t="s">
        <v>33</v>
      </c>
      <c r="H292" s="43" t="str">
        <f>NGT_TO!H367</f>
        <v>Other capex</v>
      </c>
      <c r="AU292" s="175">
        <f>NGT_TO!AU367</f>
        <v>0</v>
      </c>
      <c r="AV292" s="56">
        <f>NGT_TO!AV367</f>
        <v>0</v>
      </c>
      <c r="AW292" s="56">
        <f>NGT_TO!AW367</f>
        <v>0</v>
      </c>
      <c r="AX292" s="56">
        <f>NGT_TO!AX367</f>
        <v>0</v>
      </c>
      <c r="AY292" s="186">
        <f>NGT_TO!AY367</f>
        <v>0</v>
      </c>
      <c r="AZ292"/>
      <c r="BA292" s="44" t="str">
        <f t="shared" ca="1" si="17"/>
        <v>VariantAllowances</v>
      </c>
      <c r="BB292" s="44" t="str">
        <f t="shared" si="18"/>
        <v>TO variant allowances</v>
      </c>
      <c r="BC292" s="44" t="str">
        <f t="shared" si="19"/>
        <v>Variant allowances percentage allocation</v>
      </c>
    </row>
    <row r="293" spans="5:55">
      <c r="E293" s="212" t="str">
        <f>NGT_TO!E368</f>
        <v>Removal and remediation of pipe stabbings Price Control Deliverable</v>
      </c>
      <c r="G293" s="43" t="s">
        <v>33</v>
      </c>
      <c r="H293" s="43" t="str">
        <f>NGT_TO!H368</f>
        <v>Non-operational capex</v>
      </c>
      <c r="AU293" s="175">
        <f>NGT_TO!AU368</f>
        <v>0</v>
      </c>
      <c r="AV293" s="56">
        <f>NGT_TO!AV368</f>
        <v>0</v>
      </c>
      <c r="AW293" s="56">
        <f>NGT_TO!AW368</f>
        <v>0</v>
      </c>
      <c r="AX293" s="56">
        <f>NGT_TO!AX368</f>
        <v>0</v>
      </c>
      <c r="AY293" s="186">
        <f>NGT_TO!AY368</f>
        <v>0</v>
      </c>
      <c r="AZ293"/>
      <c r="BA293" s="44" t="str">
        <f t="shared" ca="1" si="17"/>
        <v>VariantAllowances</v>
      </c>
      <c r="BB293" s="44" t="str">
        <f t="shared" si="18"/>
        <v>TO variant allowances</v>
      </c>
      <c r="BC293" s="44" t="str">
        <f t="shared" si="19"/>
        <v>Variant allowances percentage allocation</v>
      </c>
    </row>
    <row r="294" spans="5:55">
      <c r="E294" s="212" t="str">
        <f>NGT_TO!E369</f>
        <v>Removal and remediation of pipe stabbings Price Control Deliverable</v>
      </c>
      <c r="G294" s="43" t="s">
        <v>33</v>
      </c>
      <c r="H294" s="43" t="str">
        <f>NGT_TO!H369</f>
        <v>Non-load (opex)</v>
      </c>
      <c r="AU294" s="175">
        <f>NGT_TO!AU369</f>
        <v>0</v>
      </c>
      <c r="AV294" s="56">
        <f>NGT_TO!AV369</f>
        <v>0</v>
      </c>
      <c r="AW294" s="56">
        <f>NGT_TO!AW369</f>
        <v>0</v>
      </c>
      <c r="AX294" s="56">
        <f>NGT_TO!AX369</f>
        <v>0</v>
      </c>
      <c r="AY294" s="186">
        <f>NGT_TO!AY369</f>
        <v>0</v>
      </c>
      <c r="AZ294"/>
      <c r="BA294" s="44" t="str">
        <f t="shared" ca="1" si="17"/>
        <v>VariantAllowances</v>
      </c>
      <c r="BB294" s="44" t="str">
        <f t="shared" si="18"/>
        <v>TO variant allowances</v>
      </c>
      <c r="BC294" s="44" t="str">
        <f t="shared" si="19"/>
        <v>Variant allowances percentage allocation</v>
      </c>
    </row>
    <row r="295" spans="5:55">
      <c r="E295" s="201" t="str">
        <f>NGT_TO!E370</f>
        <v>Removal and remediation of pipe stabbings Price Control Deliverable</v>
      </c>
      <c r="F295" s="225"/>
      <c r="G295" s="202" t="s">
        <v>33</v>
      </c>
      <c r="H295" s="202" t="str">
        <f>NGT_TO!H370</f>
        <v>Indirects (opex)</v>
      </c>
      <c r="I295" s="202"/>
      <c r="J295" s="202"/>
      <c r="K295" s="202"/>
      <c r="L295" s="202"/>
      <c r="M295" s="202"/>
      <c r="N295" s="202"/>
      <c r="O295" s="202"/>
      <c r="P295" s="202"/>
      <c r="Q295" s="202"/>
      <c r="R295" s="202"/>
      <c r="S295" s="202"/>
      <c r="T295" s="202"/>
      <c r="U295" s="202"/>
      <c r="V295" s="202"/>
      <c r="W295" s="202"/>
      <c r="X295" s="202"/>
      <c r="Y295" s="202"/>
      <c r="Z295" s="202"/>
      <c r="AA295" s="202"/>
      <c r="AB295" s="202"/>
      <c r="AC295" s="202"/>
      <c r="AD295" s="202"/>
      <c r="AE295" s="202"/>
      <c r="AF295" s="202"/>
      <c r="AG295" s="202"/>
      <c r="AH295" s="202"/>
      <c r="AI295" s="202"/>
      <c r="AJ295" s="202"/>
      <c r="AK295" s="202"/>
      <c r="AL295" s="202"/>
      <c r="AM295" s="202"/>
      <c r="AN295" s="202"/>
      <c r="AO295" s="202"/>
      <c r="AP295" s="202"/>
      <c r="AQ295" s="202"/>
      <c r="AR295" s="202"/>
      <c r="AS295" s="202"/>
      <c r="AT295" s="203"/>
      <c r="AU295" s="226">
        <f>NGT_TO!AU370</f>
        <v>0</v>
      </c>
      <c r="AV295" s="227">
        <f>NGT_TO!AV370</f>
        <v>0</v>
      </c>
      <c r="AW295" s="227">
        <f>NGT_TO!AW370</f>
        <v>0</v>
      </c>
      <c r="AX295" s="227">
        <f>NGT_TO!AX370</f>
        <v>0</v>
      </c>
      <c r="AY295" s="228">
        <f>NGT_TO!AY370</f>
        <v>0</v>
      </c>
      <c r="AZ295"/>
      <c r="BA295" s="44" t="str">
        <f t="shared" ca="1" si="17"/>
        <v>VariantAllowances</v>
      </c>
      <c r="BB295" s="44" t="str">
        <f t="shared" si="18"/>
        <v>TO variant allowances</v>
      </c>
      <c r="BC295" s="44" t="str">
        <f t="shared" si="19"/>
        <v>Variant allowances percentage allocation</v>
      </c>
    </row>
    <row r="296" spans="5:55">
      <c r="E296" s="195" t="str">
        <f>NGT_TO!E371</f>
        <v>Actuator replacement Price Control Deliverable</v>
      </c>
      <c r="F296" s="221"/>
      <c r="G296" s="196" t="s">
        <v>33</v>
      </c>
      <c r="H296" s="196" t="str">
        <f>NGT_TO!H371</f>
        <v>Load related capex</v>
      </c>
      <c r="I296" s="196"/>
      <c r="J296" s="196"/>
      <c r="K296" s="196"/>
      <c r="L296" s="196"/>
      <c r="M296" s="196"/>
      <c r="N296" s="196"/>
      <c r="O296" s="196"/>
      <c r="P296" s="196"/>
      <c r="Q296" s="196"/>
      <c r="R296" s="196"/>
      <c r="S296" s="196"/>
      <c r="T296" s="196"/>
      <c r="U296" s="196"/>
      <c r="V296" s="196"/>
      <c r="W296" s="196"/>
      <c r="X296" s="196"/>
      <c r="Y296" s="196"/>
      <c r="Z296" s="196"/>
      <c r="AA296" s="196"/>
      <c r="AB296" s="196"/>
      <c r="AC296" s="196"/>
      <c r="AD296" s="196"/>
      <c r="AE296" s="196"/>
      <c r="AF296" s="196"/>
      <c r="AG296" s="196"/>
      <c r="AH296" s="196"/>
      <c r="AI296" s="196"/>
      <c r="AJ296" s="196"/>
      <c r="AK296" s="196"/>
      <c r="AL296" s="196"/>
      <c r="AM296" s="196"/>
      <c r="AN296" s="196"/>
      <c r="AO296" s="196"/>
      <c r="AP296" s="196"/>
      <c r="AQ296" s="196"/>
      <c r="AR296" s="196"/>
      <c r="AS296" s="196"/>
      <c r="AT296" s="197"/>
      <c r="AU296" s="222">
        <f>NGT_TO!AU371</f>
        <v>0</v>
      </c>
      <c r="AV296" s="223">
        <f>NGT_TO!AV371</f>
        <v>0</v>
      </c>
      <c r="AW296" s="223">
        <f>NGT_TO!AW371</f>
        <v>0</v>
      </c>
      <c r="AX296" s="223">
        <f>NGT_TO!AX371</f>
        <v>0</v>
      </c>
      <c r="AY296" s="224">
        <f>NGT_TO!AY371</f>
        <v>0</v>
      </c>
      <c r="AZ296"/>
      <c r="BA296" s="44" t="str">
        <f t="shared" ca="1" si="17"/>
        <v>VariantAllowances</v>
      </c>
      <c r="BB296" s="44" t="str">
        <f t="shared" si="18"/>
        <v>TO variant allowances</v>
      </c>
      <c r="BC296" s="44" t="str">
        <f t="shared" si="19"/>
        <v>Variant allowances percentage allocation</v>
      </c>
    </row>
    <row r="297" spans="5:55">
      <c r="E297" s="212" t="str">
        <f>NGT_TO!E372</f>
        <v>Actuator replacement Price Control Deliverable</v>
      </c>
      <c r="G297" s="43" t="s">
        <v>33</v>
      </c>
      <c r="H297" s="43" t="str">
        <f>NGT_TO!H372</f>
        <v>Asset replacement capex</v>
      </c>
      <c r="AU297" s="175">
        <f>NGT_TO!AU372</f>
        <v>1</v>
      </c>
      <c r="AV297" s="56">
        <f>NGT_TO!AV372</f>
        <v>1</v>
      </c>
      <c r="AW297" s="56">
        <f>NGT_TO!AW372</f>
        <v>1</v>
      </c>
      <c r="AX297" s="56">
        <f>NGT_TO!AX372</f>
        <v>1</v>
      </c>
      <c r="AY297" s="186">
        <f>NGT_TO!AY372</f>
        <v>1</v>
      </c>
      <c r="AZ297"/>
      <c r="BA297" s="44" t="str">
        <f t="shared" ca="1" si="17"/>
        <v>VariantAllowances</v>
      </c>
      <c r="BB297" s="44" t="str">
        <f t="shared" si="18"/>
        <v>TO variant allowances</v>
      </c>
      <c r="BC297" s="44" t="str">
        <f t="shared" si="19"/>
        <v>Variant allowances percentage allocation</v>
      </c>
    </row>
    <row r="298" spans="5:55">
      <c r="E298" s="212" t="str">
        <f>NGT_TO!E373</f>
        <v>Actuator replacement Price Control Deliverable</v>
      </c>
      <c r="G298" s="43" t="s">
        <v>33</v>
      </c>
      <c r="H298" s="43" t="str">
        <f>NGT_TO!H373</f>
        <v>Other capex</v>
      </c>
      <c r="AU298" s="175">
        <f>NGT_TO!AU373</f>
        <v>0</v>
      </c>
      <c r="AV298" s="56">
        <f>NGT_TO!AV373</f>
        <v>0</v>
      </c>
      <c r="AW298" s="56">
        <f>NGT_TO!AW373</f>
        <v>0</v>
      </c>
      <c r="AX298" s="56">
        <f>NGT_TO!AX373</f>
        <v>0</v>
      </c>
      <c r="AY298" s="186">
        <f>NGT_TO!AY373</f>
        <v>0</v>
      </c>
      <c r="AZ298"/>
      <c r="BA298" s="44" t="str">
        <f t="shared" ca="1" si="17"/>
        <v>VariantAllowances</v>
      </c>
      <c r="BB298" s="44" t="str">
        <f t="shared" si="18"/>
        <v>TO variant allowances</v>
      </c>
      <c r="BC298" s="44" t="str">
        <f t="shared" si="19"/>
        <v>Variant allowances percentage allocation</v>
      </c>
    </row>
    <row r="299" spans="5:55">
      <c r="E299" s="212" t="str">
        <f>NGT_TO!E374</f>
        <v>Actuator replacement Price Control Deliverable</v>
      </c>
      <c r="G299" s="43" t="s">
        <v>33</v>
      </c>
      <c r="H299" s="43" t="str">
        <f>NGT_TO!H374</f>
        <v>Non-operational capex</v>
      </c>
      <c r="AU299" s="175">
        <f>NGT_TO!AU374</f>
        <v>0</v>
      </c>
      <c r="AV299" s="56">
        <f>NGT_TO!AV374</f>
        <v>0</v>
      </c>
      <c r="AW299" s="56">
        <f>NGT_TO!AW374</f>
        <v>0</v>
      </c>
      <c r="AX299" s="56">
        <f>NGT_TO!AX374</f>
        <v>0</v>
      </c>
      <c r="AY299" s="186">
        <f>NGT_TO!AY374</f>
        <v>0</v>
      </c>
      <c r="AZ299"/>
      <c r="BA299" s="44" t="str">
        <f t="shared" ref="BA299:BA355" ca="1" si="20">$A$1</f>
        <v>VariantAllowances</v>
      </c>
      <c r="BB299" s="44" t="str">
        <f t="shared" si="18"/>
        <v>TO variant allowances</v>
      </c>
      <c r="BC299" s="44" t="str">
        <f t="shared" si="19"/>
        <v>Variant allowances percentage allocation</v>
      </c>
    </row>
    <row r="300" spans="5:55">
      <c r="E300" s="212" t="str">
        <f>NGT_TO!E375</f>
        <v>Actuator replacement Price Control Deliverable</v>
      </c>
      <c r="G300" s="43" t="s">
        <v>33</v>
      </c>
      <c r="H300" s="43" t="str">
        <f>NGT_TO!H375</f>
        <v>Non-load (opex)</v>
      </c>
      <c r="AU300" s="175">
        <f>NGT_TO!AU375</f>
        <v>0</v>
      </c>
      <c r="AV300" s="56">
        <f>NGT_TO!AV375</f>
        <v>0</v>
      </c>
      <c r="AW300" s="56">
        <f>NGT_TO!AW375</f>
        <v>0</v>
      </c>
      <c r="AX300" s="56">
        <f>NGT_TO!AX375</f>
        <v>0</v>
      </c>
      <c r="AY300" s="186">
        <f>NGT_TO!AY375</f>
        <v>0</v>
      </c>
      <c r="AZ300"/>
      <c r="BA300" s="44" t="str">
        <f t="shared" ca="1" si="20"/>
        <v>VariantAllowances</v>
      </c>
      <c r="BB300" s="44" t="str">
        <f t="shared" si="18"/>
        <v>TO variant allowances</v>
      </c>
      <c r="BC300" s="44" t="str">
        <f t="shared" si="19"/>
        <v>Variant allowances percentage allocation</v>
      </c>
    </row>
    <row r="301" spans="5:55">
      <c r="E301" s="201" t="str">
        <f>NGT_TO!E376</f>
        <v>Actuator replacement Price Control Deliverable</v>
      </c>
      <c r="F301" s="225"/>
      <c r="G301" s="202" t="s">
        <v>33</v>
      </c>
      <c r="H301" s="202" t="str">
        <f>NGT_TO!H376</f>
        <v>Indirects (opex)</v>
      </c>
      <c r="I301" s="202"/>
      <c r="J301" s="202"/>
      <c r="K301" s="202"/>
      <c r="L301" s="202"/>
      <c r="M301" s="202"/>
      <c r="N301" s="202"/>
      <c r="O301" s="202"/>
      <c r="P301" s="202"/>
      <c r="Q301" s="202"/>
      <c r="R301" s="202"/>
      <c r="S301" s="202"/>
      <c r="T301" s="202"/>
      <c r="U301" s="202"/>
      <c r="V301" s="202"/>
      <c r="W301" s="202"/>
      <c r="X301" s="202"/>
      <c r="Y301" s="202"/>
      <c r="Z301" s="202"/>
      <c r="AA301" s="202"/>
      <c r="AB301" s="202"/>
      <c r="AC301" s="202"/>
      <c r="AD301" s="202"/>
      <c r="AE301" s="202"/>
      <c r="AF301" s="202"/>
      <c r="AG301" s="202"/>
      <c r="AH301" s="202"/>
      <c r="AI301" s="202"/>
      <c r="AJ301" s="202"/>
      <c r="AK301" s="202"/>
      <c r="AL301" s="202"/>
      <c r="AM301" s="202"/>
      <c r="AN301" s="202"/>
      <c r="AO301" s="202"/>
      <c r="AP301" s="202"/>
      <c r="AQ301" s="202"/>
      <c r="AR301" s="202"/>
      <c r="AS301" s="202"/>
      <c r="AT301" s="203"/>
      <c r="AU301" s="226">
        <f>NGT_TO!AU376</f>
        <v>0</v>
      </c>
      <c r="AV301" s="227">
        <f>NGT_TO!AV376</f>
        <v>0</v>
      </c>
      <c r="AW301" s="227">
        <f>NGT_TO!AW376</f>
        <v>0</v>
      </c>
      <c r="AX301" s="227">
        <f>NGT_TO!AX376</f>
        <v>0</v>
      </c>
      <c r="AY301" s="228">
        <f>NGT_TO!AY376</f>
        <v>0</v>
      </c>
      <c r="AZ301"/>
      <c r="BA301" s="44" t="str">
        <f t="shared" ca="1" si="20"/>
        <v>VariantAllowances</v>
      </c>
      <c r="BB301" s="44" t="str">
        <f t="shared" si="18"/>
        <v>TO variant allowances</v>
      </c>
      <c r="BC301" s="44" t="str">
        <f t="shared" si="19"/>
        <v>Variant allowances percentage allocation</v>
      </c>
    </row>
    <row r="302" spans="5:55">
      <c r="E302" s="195" t="str">
        <f>NGT_TO!E377</f>
        <v>GT2/GT3 Crossover Adjustment</v>
      </c>
      <c r="F302" s="221"/>
      <c r="G302" s="196" t="s">
        <v>33</v>
      </c>
      <c r="H302" s="196" t="str">
        <f>NGT_TO!H377</f>
        <v>Load related capex</v>
      </c>
      <c r="I302" s="196"/>
      <c r="J302" s="196"/>
      <c r="K302" s="196"/>
      <c r="L302" s="196"/>
      <c r="M302" s="196"/>
      <c r="N302" s="196"/>
      <c r="O302" s="196"/>
      <c r="P302" s="196"/>
      <c r="Q302" s="196"/>
      <c r="R302" s="196"/>
      <c r="S302" s="196"/>
      <c r="T302" s="196"/>
      <c r="U302" s="196"/>
      <c r="V302" s="196"/>
      <c r="W302" s="196"/>
      <c r="X302" s="196"/>
      <c r="Y302" s="196"/>
      <c r="Z302" s="196"/>
      <c r="AA302" s="196"/>
      <c r="AB302" s="196"/>
      <c r="AC302" s="196"/>
      <c r="AD302" s="196"/>
      <c r="AE302" s="196"/>
      <c r="AF302" s="196"/>
      <c r="AG302" s="196"/>
      <c r="AH302" s="196"/>
      <c r="AI302" s="196"/>
      <c r="AJ302" s="196"/>
      <c r="AK302" s="196"/>
      <c r="AL302" s="196"/>
      <c r="AM302" s="196"/>
      <c r="AN302" s="196"/>
      <c r="AO302" s="196"/>
      <c r="AP302" s="196"/>
      <c r="AQ302" s="196"/>
      <c r="AR302" s="196"/>
      <c r="AS302" s="196"/>
      <c r="AT302" s="197"/>
      <c r="AU302" s="222">
        <f>NGT_TO!AU377</f>
        <v>0</v>
      </c>
      <c r="AV302" s="223">
        <f>NGT_TO!AV377</f>
        <v>0</v>
      </c>
      <c r="AW302" s="223">
        <f>NGT_TO!AW377</f>
        <v>0</v>
      </c>
      <c r="AX302" s="223">
        <f>NGT_TO!AX377</f>
        <v>0</v>
      </c>
      <c r="AY302" s="224">
        <f>NGT_TO!AY377</f>
        <v>0</v>
      </c>
      <c r="AZ302"/>
      <c r="BA302" s="44" t="str">
        <f t="shared" ca="1" si="20"/>
        <v>VariantAllowances</v>
      </c>
      <c r="BB302" s="44" t="str">
        <f t="shared" si="18"/>
        <v>TO variant allowances</v>
      </c>
      <c r="BC302" s="44" t="str">
        <f t="shared" si="19"/>
        <v>Variant allowances percentage allocation</v>
      </c>
    </row>
    <row r="303" spans="5:55">
      <c r="E303" s="212" t="str">
        <f>NGT_TO!E378</f>
        <v>GT2/GT3 Crossover Adjustment</v>
      </c>
      <c r="G303" s="43" t="s">
        <v>33</v>
      </c>
      <c r="H303" s="43" t="str">
        <f>NGT_TO!H378</f>
        <v>Asset replacement capex</v>
      </c>
      <c r="AU303" s="175">
        <f>NGT_TO!AU378</f>
        <v>0</v>
      </c>
      <c r="AV303" s="56">
        <f>NGT_TO!AV378</f>
        <v>0</v>
      </c>
      <c r="AW303" s="56">
        <f>NGT_TO!AW378</f>
        <v>0</v>
      </c>
      <c r="AX303" s="56">
        <f>NGT_TO!AX378</f>
        <v>0</v>
      </c>
      <c r="AY303" s="186">
        <f>NGT_TO!AY378</f>
        <v>0</v>
      </c>
      <c r="AZ303"/>
      <c r="BA303" s="44" t="str">
        <f t="shared" ca="1" si="20"/>
        <v>VariantAllowances</v>
      </c>
      <c r="BB303" s="44" t="str">
        <f t="shared" si="18"/>
        <v>TO variant allowances</v>
      </c>
      <c r="BC303" s="44" t="str">
        <f t="shared" si="19"/>
        <v>Variant allowances percentage allocation</v>
      </c>
    </row>
    <row r="304" spans="5:55">
      <c r="E304" s="212" t="str">
        <f>NGT_TO!E379</f>
        <v>GT2/GT3 Crossover Adjustment</v>
      </c>
      <c r="G304" s="43" t="s">
        <v>33</v>
      </c>
      <c r="H304" s="43" t="str">
        <f>NGT_TO!H379</f>
        <v>Other capex</v>
      </c>
      <c r="AU304" s="175">
        <f>NGT_TO!AU379</f>
        <v>0</v>
      </c>
      <c r="AV304" s="56">
        <f>NGT_TO!AV379</f>
        <v>0</v>
      </c>
      <c r="AW304" s="56">
        <f>NGT_TO!AW379</f>
        <v>0</v>
      </c>
      <c r="AX304" s="56">
        <f>NGT_TO!AX379</f>
        <v>0</v>
      </c>
      <c r="AY304" s="186">
        <f>NGT_TO!AY379</f>
        <v>0</v>
      </c>
      <c r="AZ304"/>
      <c r="BA304" s="44" t="str">
        <f t="shared" ca="1" si="20"/>
        <v>VariantAllowances</v>
      </c>
      <c r="BB304" s="44" t="str">
        <f t="shared" si="18"/>
        <v>TO variant allowances</v>
      </c>
      <c r="BC304" s="44" t="str">
        <f t="shared" si="19"/>
        <v>Variant allowances percentage allocation</v>
      </c>
    </row>
    <row r="305" spans="5:55">
      <c r="E305" s="212" t="str">
        <f>NGT_TO!E380</f>
        <v>GT2/GT3 Crossover Adjustment</v>
      </c>
      <c r="G305" s="43" t="s">
        <v>33</v>
      </c>
      <c r="H305" s="43" t="str">
        <f>NGT_TO!H380</f>
        <v>Non-operational capex</v>
      </c>
      <c r="AU305" s="175">
        <f>NGT_TO!AU380</f>
        <v>0</v>
      </c>
      <c r="AV305" s="56">
        <f>NGT_TO!AV380</f>
        <v>0</v>
      </c>
      <c r="AW305" s="56">
        <f>NGT_TO!AW380</f>
        <v>0</v>
      </c>
      <c r="AX305" s="56">
        <f>NGT_TO!AX380</f>
        <v>0</v>
      </c>
      <c r="AY305" s="186">
        <f>NGT_TO!AY380</f>
        <v>0</v>
      </c>
      <c r="AZ305"/>
      <c r="BA305" s="44" t="str">
        <f t="shared" ca="1" si="20"/>
        <v>VariantAllowances</v>
      </c>
      <c r="BB305" s="44" t="str">
        <f t="shared" si="18"/>
        <v>TO variant allowances</v>
      </c>
      <c r="BC305" s="44" t="str">
        <f t="shared" si="19"/>
        <v>Variant allowances percentage allocation</v>
      </c>
    </row>
    <row r="306" spans="5:55">
      <c r="E306" s="212" t="str">
        <f>NGT_TO!E381</f>
        <v>GT2/GT3 Crossover Adjustment</v>
      </c>
      <c r="G306" s="43" t="s">
        <v>33</v>
      </c>
      <c r="H306" s="43" t="str">
        <f>NGT_TO!H381</f>
        <v>Non-load (opex)</v>
      </c>
      <c r="AU306" s="175">
        <f>NGT_TO!AU381</f>
        <v>0</v>
      </c>
      <c r="AV306" s="56">
        <f>NGT_TO!AV381</f>
        <v>0</v>
      </c>
      <c r="AW306" s="56">
        <f>NGT_TO!AW381</f>
        <v>0</v>
      </c>
      <c r="AX306" s="56">
        <f>NGT_TO!AX381</f>
        <v>0</v>
      </c>
      <c r="AY306" s="186">
        <f>NGT_TO!AY381</f>
        <v>0</v>
      </c>
      <c r="AZ306"/>
      <c r="BA306" s="44" t="str">
        <f t="shared" ca="1" si="20"/>
        <v>VariantAllowances</v>
      </c>
      <c r="BB306" s="44" t="str">
        <f t="shared" si="18"/>
        <v>TO variant allowances</v>
      </c>
      <c r="BC306" s="44" t="str">
        <f t="shared" si="19"/>
        <v>Variant allowances percentage allocation</v>
      </c>
    </row>
    <row r="307" spans="5:55">
      <c r="E307" s="201" t="str">
        <f>NGT_TO!E382</f>
        <v>GT2/GT3 Crossover Adjustment</v>
      </c>
      <c r="F307" s="225"/>
      <c r="G307" s="202" t="s">
        <v>33</v>
      </c>
      <c r="H307" s="202" t="str">
        <f>NGT_TO!H382</f>
        <v>Indirects (opex)</v>
      </c>
      <c r="I307" s="202"/>
      <c r="J307" s="202"/>
      <c r="K307" s="202"/>
      <c r="L307" s="202"/>
      <c r="M307" s="202"/>
      <c r="N307" s="202"/>
      <c r="O307" s="202"/>
      <c r="P307" s="202"/>
      <c r="Q307" s="202"/>
      <c r="R307" s="202"/>
      <c r="S307" s="202"/>
      <c r="T307" s="202"/>
      <c r="U307" s="202"/>
      <c r="V307" s="202"/>
      <c r="W307" s="202"/>
      <c r="X307" s="202"/>
      <c r="Y307" s="202"/>
      <c r="Z307" s="202"/>
      <c r="AA307" s="202"/>
      <c r="AB307" s="202"/>
      <c r="AC307" s="202"/>
      <c r="AD307" s="202"/>
      <c r="AE307" s="202"/>
      <c r="AF307" s="202"/>
      <c r="AG307" s="202"/>
      <c r="AH307" s="202"/>
      <c r="AI307" s="202"/>
      <c r="AJ307" s="202"/>
      <c r="AK307" s="202"/>
      <c r="AL307" s="202"/>
      <c r="AM307" s="202"/>
      <c r="AN307" s="202"/>
      <c r="AO307" s="202"/>
      <c r="AP307" s="202"/>
      <c r="AQ307" s="202"/>
      <c r="AR307" s="202"/>
      <c r="AS307" s="202"/>
      <c r="AT307" s="203"/>
      <c r="AU307" s="226">
        <f>NGT_TO!AU382</f>
        <v>0</v>
      </c>
      <c r="AV307" s="227">
        <f>NGT_TO!AV382</f>
        <v>0</v>
      </c>
      <c r="AW307" s="227">
        <f>NGT_TO!AW382</f>
        <v>0</v>
      </c>
      <c r="AX307" s="227">
        <f>NGT_TO!AX382</f>
        <v>0</v>
      </c>
      <c r="AY307" s="228">
        <f>NGT_TO!AY382</f>
        <v>0</v>
      </c>
      <c r="AZ307"/>
      <c r="BA307" s="44" t="str">
        <f t="shared" ca="1" si="20"/>
        <v>VariantAllowances</v>
      </c>
      <c r="BB307" s="44" t="str">
        <f t="shared" si="18"/>
        <v>TO variant allowances</v>
      </c>
      <c r="BC307" s="44" t="str">
        <f t="shared" si="19"/>
        <v>Variant allowances percentage allocation</v>
      </c>
    </row>
    <row r="308" spans="5:55">
      <c r="E308" s="195" t="str">
        <f>NGT_TO!E383</f>
        <v>Spare 1</v>
      </c>
      <c r="F308" s="221"/>
      <c r="G308" s="196" t="s">
        <v>33</v>
      </c>
      <c r="H308" s="196" t="str">
        <f>NGT_TO!H383</f>
        <v>Load related capex</v>
      </c>
      <c r="I308" s="196"/>
      <c r="J308" s="196"/>
      <c r="K308" s="196"/>
      <c r="L308" s="196"/>
      <c r="M308" s="196"/>
      <c r="N308" s="196"/>
      <c r="O308" s="196"/>
      <c r="P308" s="196"/>
      <c r="Q308" s="196"/>
      <c r="R308" s="196"/>
      <c r="S308" s="196"/>
      <c r="T308" s="196"/>
      <c r="U308" s="196"/>
      <c r="V308" s="196"/>
      <c r="W308" s="196"/>
      <c r="X308" s="196"/>
      <c r="Y308" s="196"/>
      <c r="Z308" s="196"/>
      <c r="AA308" s="196"/>
      <c r="AB308" s="196"/>
      <c r="AC308" s="196"/>
      <c r="AD308" s="196"/>
      <c r="AE308" s="196"/>
      <c r="AF308" s="196"/>
      <c r="AG308" s="196"/>
      <c r="AH308" s="196"/>
      <c r="AI308" s="196"/>
      <c r="AJ308" s="196"/>
      <c r="AK308" s="196"/>
      <c r="AL308" s="196"/>
      <c r="AM308" s="196"/>
      <c r="AN308" s="196"/>
      <c r="AO308" s="196"/>
      <c r="AP308" s="196"/>
      <c r="AQ308" s="196"/>
      <c r="AR308" s="196"/>
      <c r="AS308" s="196"/>
      <c r="AT308" s="197"/>
      <c r="AU308" s="222">
        <f>NGT_TO!AU383</f>
        <v>0</v>
      </c>
      <c r="AV308" s="223">
        <f>NGT_TO!AV383</f>
        <v>0</v>
      </c>
      <c r="AW308" s="223">
        <f>NGT_TO!AW383</f>
        <v>0</v>
      </c>
      <c r="AX308" s="223">
        <f>NGT_TO!AX383</f>
        <v>0</v>
      </c>
      <c r="AY308" s="224">
        <f>NGT_TO!AY383</f>
        <v>0</v>
      </c>
      <c r="AZ308"/>
      <c r="BA308" s="44" t="str">
        <f t="shared" ca="1" si="20"/>
        <v>VariantAllowances</v>
      </c>
      <c r="BB308" s="44" t="str">
        <f t="shared" si="18"/>
        <v>TO variant allowances</v>
      </c>
      <c r="BC308" s="44" t="str">
        <f t="shared" si="19"/>
        <v>Variant allowances percentage allocation</v>
      </c>
    </row>
    <row r="309" spans="5:55">
      <c r="E309" s="212" t="str">
        <f>NGT_TO!E384</f>
        <v>Spare 1</v>
      </c>
      <c r="G309" s="43" t="s">
        <v>33</v>
      </c>
      <c r="H309" s="43" t="str">
        <f>NGT_TO!H384</f>
        <v>Asset replacement capex</v>
      </c>
      <c r="AU309" s="175">
        <f>NGT_TO!AU384</f>
        <v>0</v>
      </c>
      <c r="AV309" s="56">
        <f>NGT_TO!AV384</f>
        <v>0</v>
      </c>
      <c r="AW309" s="56">
        <f>NGT_TO!AW384</f>
        <v>0</v>
      </c>
      <c r="AX309" s="56">
        <f>NGT_TO!AX384</f>
        <v>0</v>
      </c>
      <c r="AY309" s="186">
        <f>NGT_TO!AY384</f>
        <v>0</v>
      </c>
      <c r="AZ309"/>
      <c r="BA309" s="44" t="str">
        <f t="shared" ca="1" si="20"/>
        <v>VariantAllowances</v>
      </c>
      <c r="BB309" s="44" t="str">
        <f t="shared" si="18"/>
        <v>TO variant allowances</v>
      </c>
      <c r="BC309" s="44" t="str">
        <f t="shared" si="19"/>
        <v>Variant allowances percentage allocation</v>
      </c>
    </row>
    <row r="310" spans="5:55">
      <c r="E310" s="212" t="str">
        <f>NGT_TO!E385</f>
        <v>Spare 1</v>
      </c>
      <c r="G310" s="43" t="s">
        <v>33</v>
      </c>
      <c r="H310" s="43" t="str">
        <f>NGT_TO!H385</f>
        <v>Other capex</v>
      </c>
      <c r="AU310" s="175">
        <f>NGT_TO!AU385</f>
        <v>0</v>
      </c>
      <c r="AV310" s="56">
        <f>NGT_TO!AV385</f>
        <v>0</v>
      </c>
      <c r="AW310" s="56">
        <f>NGT_TO!AW385</f>
        <v>0</v>
      </c>
      <c r="AX310" s="56">
        <f>NGT_TO!AX385</f>
        <v>0</v>
      </c>
      <c r="AY310" s="186">
        <f>NGT_TO!AY385</f>
        <v>0</v>
      </c>
      <c r="AZ310"/>
      <c r="BA310" s="44" t="str">
        <f t="shared" ca="1" si="20"/>
        <v>VariantAllowances</v>
      </c>
      <c r="BB310" s="44" t="str">
        <f t="shared" si="18"/>
        <v>TO variant allowances</v>
      </c>
      <c r="BC310" s="44" t="str">
        <f t="shared" si="19"/>
        <v>Variant allowances percentage allocation</v>
      </c>
    </row>
    <row r="311" spans="5:55">
      <c r="E311" s="212" t="str">
        <f>NGT_TO!E386</f>
        <v>Spare 1</v>
      </c>
      <c r="G311" s="43" t="s">
        <v>33</v>
      </c>
      <c r="H311" s="43" t="str">
        <f>NGT_TO!H386</f>
        <v>Non-operational capex</v>
      </c>
      <c r="AU311" s="175">
        <f>NGT_TO!AU386</f>
        <v>0</v>
      </c>
      <c r="AV311" s="56">
        <f>NGT_TO!AV386</f>
        <v>0</v>
      </c>
      <c r="AW311" s="56">
        <f>NGT_TO!AW386</f>
        <v>0</v>
      </c>
      <c r="AX311" s="56">
        <f>NGT_TO!AX386</f>
        <v>0</v>
      </c>
      <c r="AY311" s="186">
        <f>NGT_TO!AY386</f>
        <v>0</v>
      </c>
      <c r="AZ311"/>
      <c r="BA311" s="44" t="str">
        <f t="shared" ca="1" si="20"/>
        <v>VariantAllowances</v>
      </c>
      <c r="BB311" s="44" t="str">
        <f t="shared" si="18"/>
        <v>TO variant allowances</v>
      </c>
      <c r="BC311" s="44" t="str">
        <f t="shared" si="19"/>
        <v>Variant allowances percentage allocation</v>
      </c>
    </row>
    <row r="312" spans="5:55">
      <c r="E312" s="212" t="str">
        <f>NGT_TO!E387</f>
        <v>Spare 1</v>
      </c>
      <c r="G312" s="43" t="s">
        <v>33</v>
      </c>
      <c r="H312" s="43" t="str">
        <f>NGT_TO!H387</f>
        <v>Non-load (opex)</v>
      </c>
      <c r="AU312" s="175">
        <f>NGT_TO!AU387</f>
        <v>0</v>
      </c>
      <c r="AV312" s="56">
        <f>NGT_TO!AV387</f>
        <v>0</v>
      </c>
      <c r="AW312" s="56">
        <f>NGT_TO!AW387</f>
        <v>0</v>
      </c>
      <c r="AX312" s="56">
        <f>NGT_TO!AX387</f>
        <v>0</v>
      </c>
      <c r="AY312" s="186">
        <f>NGT_TO!AY387</f>
        <v>0</v>
      </c>
      <c r="AZ312"/>
      <c r="BA312" s="44" t="str">
        <f t="shared" ca="1" si="20"/>
        <v>VariantAllowances</v>
      </c>
      <c r="BB312" s="44" t="str">
        <f t="shared" si="18"/>
        <v>TO variant allowances</v>
      </c>
      <c r="BC312" s="44" t="str">
        <f t="shared" si="19"/>
        <v>Variant allowances percentage allocation</v>
      </c>
    </row>
    <row r="313" spans="5:55">
      <c r="E313" s="201" t="str">
        <f>NGT_TO!E388</f>
        <v>Spare 1</v>
      </c>
      <c r="F313" s="225"/>
      <c r="G313" s="202" t="s">
        <v>33</v>
      </c>
      <c r="H313" s="202" t="str">
        <f>NGT_TO!H388</f>
        <v>Indirects (opex)</v>
      </c>
      <c r="I313" s="202"/>
      <c r="J313" s="202"/>
      <c r="K313" s="202"/>
      <c r="L313" s="202"/>
      <c r="M313" s="202"/>
      <c r="N313" s="202"/>
      <c r="O313" s="202"/>
      <c r="P313" s="202"/>
      <c r="Q313" s="202"/>
      <c r="R313" s="202"/>
      <c r="S313" s="202"/>
      <c r="T313" s="202"/>
      <c r="U313" s="202"/>
      <c r="V313" s="202"/>
      <c r="W313" s="202"/>
      <c r="X313" s="202"/>
      <c r="Y313" s="202"/>
      <c r="Z313" s="202"/>
      <c r="AA313" s="202"/>
      <c r="AB313" s="202"/>
      <c r="AC313" s="202"/>
      <c r="AD313" s="202"/>
      <c r="AE313" s="202"/>
      <c r="AF313" s="202"/>
      <c r="AG313" s="202"/>
      <c r="AH313" s="202"/>
      <c r="AI313" s="202"/>
      <c r="AJ313" s="202"/>
      <c r="AK313" s="202"/>
      <c r="AL313" s="202"/>
      <c r="AM313" s="202"/>
      <c r="AN313" s="202"/>
      <c r="AO313" s="202"/>
      <c r="AP313" s="202"/>
      <c r="AQ313" s="202"/>
      <c r="AR313" s="202"/>
      <c r="AS313" s="202"/>
      <c r="AT313" s="203"/>
      <c r="AU313" s="226">
        <f>NGT_TO!AU388</f>
        <v>0</v>
      </c>
      <c r="AV313" s="227">
        <f>NGT_TO!AV388</f>
        <v>0</v>
      </c>
      <c r="AW313" s="227">
        <f>NGT_TO!AW388</f>
        <v>0</v>
      </c>
      <c r="AX313" s="227">
        <f>NGT_TO!AX388</f>
        <v>0</v>
      </c>
      <c r="AY313" s="228">
        <f>NGT_TO!AY388</f>
        <v>0</v>
      </c>
      <c r="AZ313"/>
      <c r="BA313" s="44" t="str">
        <f t="shared" ca="1" si="20"/>
        <v>VariantAllowances</v>
      </c>
      <c r="BB313" s="44" t="str">
        <f t="shared" si="18"/>
        <v>TO variant allowances</v>
      </c>
      <c r="BC313" s="44" t="str">
        <f t="shared" si="19"/>
        <v>Variant allowances percentage allocation</v>
      </c>
    </row>
    <row r="314" spans="5:55">
      <c r="E314" s="195" t="str">
        <f>NGT_TO!E389</f>
        <v>Spare 2</v>
      </c>
      <c r="F314" s="221"/>
      <c r="G314" s="196" t="s">
        <v>33</v>
      </c>
      <c r="H314" s="196" t="str">
        <f>NGT_TO!H389</f>
        <v>Load related capex</v>
      </c>
      <c r="I314" s="196"/>
      <c r="J314" s="196"/>
      <c r="K314" s="196"/>
      <c r="L314" s="196"/>
      <c r="M314" s="196"/>
      <c r="N314" s="196"/>
      <c r="O314" s="196"/>
      <c r="P314" s="196"/>
      <c r="Q314" s="196"/>
      <c r="R314" s="196"/>
      <c r="S314" s="196"/>
      <c r="T314" s="196"/>
      <c r="U314" s="196"/>
      <c r="V314" s="196"/>
      <c r="W314" s="196"/>
      <c r="X314" s="196"/>
      <c r="Y314" s="196"/>
      <c r="Z314" s="196"/>
      <c r="AA314" s="196"/>
      <c r="AB314" s="196"/>
      <c r="AC314" s="196"/>
      <c r="AD314" s="196"/>
      <c r="AE314" s="196"/>
      <c r="AF314" s="196"/>
      <c r="AG314" s="196"/>
      <c r="AH314" s="196"/>
      <c r="AI314" s="196"/>
      <c r="AJ314" s="196"/>
      <c r="AK314" s="196"/>
      <c r="AL314" s="196"/>
      <c r="AM314" s="196"/>
      <c r="AN314" s="196"/>
      <c r="AO314" s="196"/>
      <c r="AP314" s="196"/>
      <c r="AQ314" s="196"/>
      <c r="AR314" s="196"/>
      <c r="AS314" s="196"/>
      <c r="AT314" s="197"/>
      <c r="AU314" s="222">
        <f>NGT_TO!AU389</f>
        <v>0</v>
      </c>
      <c r="AV314" s="223">
        <f>NGT_TO!AV389</f>
        <v>0</v>
      </c>
      <c r="AW314" s="223">
        <f>NGT_TO!AW389</f>
        <v>0</v>
      </c>
      <c r="AX314" s="223">
        <f>NGT_TO!AX389</f>
        <v>0</v>
      </c>
      <c r="AY314" s="224">
        <f>NGT_TO!AY389</f>
        <v>0</v>
      </c>
      <c r="AZ314"/>
      <c r="BA314" s="44" t="str">
        <f t="shared" ca="1" si="20"/>
        <v>VariantAllowances</v>
      </c>
      <c r="BB314" s="44" t="str">
        <f t="shared" si="18"/>
        <v>TO variant allowances</v>
      </c>
      <c r="BC314" s="44" t="str">
        <f t="shared" si="19"/>
        <v>Variant allowances percentage allocation</v>
      </c>
    </row>
    <row r="315" spans="5:55">
      <c r="E315" s="212" t="str">
        <f>NGT_TO!E390</f>
        <v>Spare 2</v>
      </c>
      <c r="G315" s="43" t="s">
        <v>33</v>
      </c>
      <c r="H315" s="43" t="str">
        <f>NGT_TO!H390</f>
        <v>Asset replacement capex</v>
      </c>
      <c r="AU315" s="175">
        <f>NGT_TO!AU390</f>
        <v>0</v>
      </c>
      <c r="AV315" s="56">
        <f>NGT_TO!AV390</f>
        <v>0</v>
      </c>
      <c r="AW315" s="56">
        <f>NGT_TO!AW390</f>
        <v>0</v>
      </c>
      <c r="AX315" s="56">
        <f>NGT_TO!AX390</f>
        <v>0</v>
      </c>
      <c r="AY315" s="186">
        <f>NGT_TO!AY390</f>
        <v>0</v>
      </c>
      <c r="AZ315"/>
      <c r="BA315" s="44" t="str">
        <f t="shared" ca="1" si="20"/>
        <v>VariantAllowances</v>
      </c>
      <c r="BB315" s="44" t="str">
        <f t="shared" si="18"/>
        <v>TO variant allowances</v>
      </c>
      <c r="BC315" s="44" t="str">
        <f t="shared" si="19"/>
        <v>Variant allowances percentage allocation</v>
      </c>
    </row>
    <row r="316" spans="5:55">
      <c r="E316" s="212" t="str">
        <f>NGT_TO!E391</f>
        <v>Spare 2</v>
      </c>
      <c r="G316" s="43" t="s">
        <v>33</v>
      </c>
      <c r="H316" s="43" t="str">
        <f>NGT_TO!H391</f>
        <v>Other capex</v>
      </c>
      <c r="AU316" s="175">
        <f>NGT_TO!AU391</f>
        <v>0</v>
      </c>
      <c r="AV316" s="56">
        <f>NGT_TO!AV391</f>
        <v>0</v>
      </c>
      <c r="AW316" s="56">
        <f>NGT_TO!AW391</f>
        <v>0</v>
      </c>
      <c r="AX316" s="56">
        <f>NGT_TO!AX391</f>
        <v>0</v>
      </c>
      <c r="AY316" s="186">
        <f>NGT_TO!AY391</f>
        <v>0</v>
      </c>
      <c r="AZ316"/>
      <c r="BA316" s="44" t="str">
        <f t="shared" ca="1" si="20"/>
        <v>VariantAllowances</v>
      </c>
      <c r="BB316" s="44" t="str">
        <f t="shared" si="18"/>
        <v>TO variant allowances</v>
      </c>
      <c r="BC316" s="44" t="str">
        <f t="shared" si="19"/>
        <v>Variant allowances percentage allocation</v>
      </c>
    </row>
    <row r="317" spans="5:55">
      <c r="E317" s="212" t="str">
        <f>NGT_TO!E392</f>
        <v>Spare 2</v>
      </c>
      <c r="G317" s="43" t="s">
        <v>33</v>
      </c>
      <c r="H317" s="43" t="str">
        <f>NGT_TO!H392</f>
        <v>Non-operational capex</v>
      </c>
      <c r="AU317" s="175">
        <f>NGT_TO!AU392</f>
        <v>0</v>
      </c>
      <c r="AV317" s="56">
        <f>NGT_TO!AV392</f>
        <v>0</v>
      </c>
      <c r="AW317" s="56">
        <f>NGT_TO!AW392</f>
        <v>0</v>
      </c>
      <c r="AX317" s="56">
        <f>NGT_TO!AX392</f>
        <v>0</v>
      </c>
      <c r="AY317" s="186">
        <f>NGT_TO!AY392</f>
        <v>0</v>
      </c>
      <c r="AZ317"/>
      <c r="BA317" s="44" t="str">
        <f t="shared" ca="1" si="20"/>
        <v>VariantAllowances</v>
      </c>
      <c r="BB317" s="44" t="str">
        <f t="shared" si="18"/>
        <v>TO variant allowances</v>
      </c>
      <c r="BC317" s="44" t="str">
        <f t="shared" si="19"/>
        <v>Variant allowances percentage allocation</v>
      </c>
    </row>
    <row r="318" spans="5:55">
      <c r="E318" s="212" t="str">
        <f>NGT_TO!E393</f>
        <v>Spare 2</v>
      </c>
      <c r="G318" s="43" t="s">
        <v>33</v>
      </c>
      <c r="H318" s="43" t="str">
        <f>NGT_TO!H393</f>
        <v>Non-load (opex)</v>
      </c>
      <c r="AU318" s="175">
        <f>NGT_TO!AU393</f>
        <v>0</v>
      </c>
      <c r="AV318" s="56">
        <f>NGT_TO!AV393</f>
        <v>0</v>
      </c>
      <c r="AW318" s="56">
        <f>NGT_TO!AW393</f>
        <v>0</v>
      </c>
      <c r="AX318" s="56">
        <f>NGT_TO!AX393</f>
        <v>0</v>
      </c>
      <c r="AY318" s="186">
        <f>NGT_TO!AY393</f>
        <v>0</v>
      </c>
      <c r="AZ318"/>
      <c r="BA318" s="44" t="str">
        <f t="shared" ca="1" si="20"/>
        <v>VariantAllowances</v>
      </c>
      <c r="BB318" s="44" t="str">
        <f t="shared" si="18"/>
        <v>TO variant allowances</v>
      </c>
      <c r="BC318" s="44" t="str">
        <f t="shared" si="19"/>
        <v>Variant allowances percentage allocation</v>
      </c>
    </row>
    <row r="319" spans="5:55">
      <c r="E319" s="201" t="str">
        <f>NGT_TO!E394</f>
        <v>Spare 2</v>
      </c>
      <c r="F319" s="225"/>
      <c r="G319" s="202" t="s">
        <v>33</v>
      </c>
      <c r="H319" s="202" t="str">
        <f>NGT_TO!H394</f>
        <v>Indirects (opex)</v>
      </c>
      <c r="I319" s="202"/>
      <c r="J319" s="202"/>
      <c r="K319" s="202"/>
      <c r="L319" s="202"/>
      <c r="M319" s="202"/>
      <c r="N319" s="202"/>
      <c r="O319" s="202"/>
      <c r="P319" s="202"/>
      <c r="Q319" s="202"/>
      <c r="R319" s="202"/>
      <c r="S319" s="202"/>
      <c r="T319" s="202"/>
      <c r="U319" s="202"/>
      <c r="V319" s="202"/>
      <c r="W319" s="202"/>
      <c r="X319" s="202"/>
      <c r="Y319" s="202"/>
      <c r="Z319" s="202"/>
      <c r="AA319" s="202"/>
      <c r="AB319" s="202"/>
      <c r="AC319" s="202"/>
      <c r="AD319" s="202"/>
      <c r="AE319" s="202"/>
      <c r="AF319" s="202"/>
      <c r="AG319" s="202"/>
      <c r="AH319" s="202"/>
      <c r="AI319" s="202"/>
      <c r="AJ319" s="202"/>
      <c r="AK319" s="202"/>
      <c r="AL319" s="202"/>
      <c r="AM319" s="202"/>
      <c r="AN319" s="202"/>
      <c r="AO319" s="202"/>
      <c r="AP319" s="202"/>
      <c r="AQ319" s="202"/>
      <c r="AR319" s="202"/>
      <c r="AS319" s="202"/>
      <c r="AT319" s="203"/>
      <c r="AU319" s="226">
        <f>NGT_TO!AU394</f>
        <v>0</v>
      </c>
      <c r="AV319" s="227">
        <f>NGT_TO!AV394</f>
        <v>0</v>
      </c>
      <c r="AW319" s="227">
        <f>NGT_TO!AW394</f>
        <v>0</v>
      </c>
      <c r="AX319" s="227">
        <f>NGT_TO!AX394</f>
        <v>0</v>
      </c>
      <c r="AY319" s="228">
        <f>NGT_TO!AY394</f>
        <v>0</v>
      </c>
      <c r="AZ319"/>
      <c r="BA319" s="44" t="str">
        <f t="shared" ca="1" si="20"/>
        <v>VariantAllowances</v>
      </c>
      <c r="BB319" s="44" t="str">
        <f t="shared" si="18"/>
        <v>TO variant allowances</v>
      </c>
      <c r="BC319" s="44" t="str">
        <f t="shared" si="19"/>
        <v>Variant allowances percentage allocation</v>
      </c>
    </row>
    <row r="320" spans="5:55">
      <c r="E320" s="195" t="str">
        <f>NGT_TO!E395</f>
        <v>Spare 3</v>
      </c>
      <c r="F320" s="221"/>
      <c r="G320" s="196" t="s">
        <v>33</v>
      </c>
      <c r="H320" s="196" t="str">
        <f>NGT_TO!H395</f>
        <v>Load related capex</v>
      </c>
      <c r="I320" s="196"/>
      <c r="J320" s="196"/>
      <c r="K320" s="196"/>
      <c r="L320" s="196"/>
      <c r="M320" s="196"/>
      <c r="N320" s="196"/>
      <c r="O320" s="196"/>
      <c r="P320" s="196"/>
      <c r="Q320" s="196"/>
      <c r="R320" s="196"/>
      <c r="S320" s="196"/>
      <c r="T320" s="196"/>
      <c r="U320" s="196"/>
      <c r="V320" s="196"/>
      <c r="W320" s="196"/>
      <c r="X320" s="196"/>
      <c r="Y320" s="196"/>
      <c r="Z320" s="196"/>
      <c r="AA320" s="196"/>
      <c r="AB320" s="196"/>
      <c r="AC320" s="196"/>
      <c r="AD320" s="196"/>
      <c r="AE320" s="196"/>
      <c r="AF320" s="196"/>
      <c r="AG320" s="196"/>
      <c r="AH320" s="196"/>
      <c r="AI320" s="196"/>
      <c r="AJ320" s="196"/>
      <c r="AK320" s="196"/>
      <c r="AL320" s="196"/>
      <c r="AM320" s="196"/>
      <c r="AN320" s="196"/>
      <c r="AO320" s="196"/>
      <c r="AP320" s="196"/>
      <c r="AQ320" s="196"/>
      <c r="AR320" s="196"/>
      <c r="AS320" s="196"/>
      <c r="AT320" s="197"/>
      <c r="AU320" s="222">
        <f>NGT_TO!AU395</f>
        <v>0</v>
      </c>
      <c r="AV320" s="223">
        <f>NGT_TO!AV395</f>
        <v>0</v>
      </c>
      <c r="AW320" s="223">
        <f>NGT_TO!AW395</f>
        <v>0</v>
      </c>
      <c r="AX320" s="223">
        <f>NGT_TO!AX395</f>
        <v>0</v>
      </c>
      <c r="AY320" s="224">
        <f>NGT_TO!AY395</f>
        <v>0</v>
      </c>
      <c r="AZ320"/>
      <c r="BA320" s="44" t="str">
        <f t="shared" ca="1" si="20"/>
        <v>VariantAllowances</v>
      </c>
      <c r="BB320" s="44" t="str">
        <f t="shared" si="18"/>
        <v>TO variant allowances</v>
      </c>
      <c r="BC320" s="44" t="str">
        <f t="shared" si="19"/>
        <v>Variant allowances percentage allocation</v>
      </c>
    </row>
    <row r="321" spans="5:55">
      <c r="E321" s="212" t="str">
        <f>NGT_TO!E396</f>
        <v>Spare 3</v>
      </c>
      <c r="G321" s="43" t="s">
        <v>33</v>
      </c>
      <c r="H321" s="43" t="str">
        <f>NGT_TO!H396</f>
        <v>Asset replacement capex</v>
      </c>
      <c r="AU321" s="175">
        <f>NGT_TO!AU396</f>
        <v>0</v>
      </c>
      <c r="AV321" s="56">
        <f>NGT_TO!AV396</f>
        <v>0</v>
      </c>
      <c r="AW321" s="56">
        <f>NGT_TO!AW396</f>
        <v>0</v>
      </c>
      <c r="AX321" s="56">
        <f>NGT_TO!AX396</f>
        <v>0</v>
      </c>
      <c r="AY321" s="186">
        <f>NGT_TO!AY396</f>
        <v>0</v>
      </c>
      <c r="AZ321"/>
      <c r="BA321" s="44" t="str">
        <f t="shared" ca="1" si="20"/>
        <v>VariantAllowances</v>
      </c>
      <c r="BB321" s="44" t="str">
        <f t="shared" si="18"/>
        <v>TO variant allowances</v>
      </c>
      <c r="BC321" s="44" t="str">
        <f t="shared" si="19"/>
        <v>Variant allowances percentage allocation</v>
      </c>
    </row>
    <row r="322" spans="5:55">
      <c r="E322" s="212" t="str">
        <f>NGT_TO!E397</f>
        <v>Spare 3</v>
      </c>
      <c r="G322" s="43" t="s">
        <v>33</v>
      </c>
      <c r="H322" s="43" t="str">
        <f>NGT_TO!H397</f>
        <v>Other capex</v>
      </c>
      <c r="AU322" s="175">
        <f>NGT_TO!AU397</f>
        <v>0</v>
      </c>
      <c r="AV322" s="56">
        <f>NGT_TO!AV397</f>
        <v>0</v>
      </c>
      <c r="AW322" s="56">
        <f>NGT_TO!AW397</f>
        <v>0</v>
      </c>
      <c r="AX322" s="56">
        <f>NGT_TO!AX397</f>
        <v>0</v>
      </c>
      <c r="AY322" s="186">
        <f>NGT_TO!AY397</f>
        <v>0</v>
      </c>
      <c r="AZ322"/>
      <c r="BA322" s="44" t="str">
        <f t="shared" ca="1" si="20"/>
        <v>VariantAllowances</v>
      </c>
      <c r="BB322" s="44" t="str">
        <f t="shared" si="18"/>
        <v>TO variant allowances</v>
      </c>
      <c r="BC322" s="44" t="str">
        <f t="shared" si="19"/>
        <v>Variant allowances percentage allocation</v>
      </c>
    </row>
    <row r="323" spans="5:55">
      <c r="E323" s="212" t="str">
        <f>NGT_TO!E398</f>
        <v>Spare 3</v>
      </c>
      <c r="G323" s="43" t="s">
        <v>33</v>
      </c>
      <c r="H323" s="43" t="str">
        <f>NGT_TO!H398</f>
        <v>Non-operational capex</v>
      </c>
      <c r="AU323" s="175">
        <f>NGT_TO!AU398</f>
        <v>0</v>
      </c>
      <c r="AV323" s="56">
        <f>NGT_TO!AV398</f>
        <v>0</v>
      </c>
      <c r="AW323" s="56">
        <f>NGT_TO!AW398</f>
        <v>0</v>
      </c>
      <c r="AX323" s="56">
        <f>NGT_TO!AX398</f>
        <v>0</v>
      </c>
      <c r="AY323" s="186">
        <f>NGT_TO!AY398</f>
        <v>0</v>
      </c>
      <c r="AZ323"/>
      <c r="BA323" s="44" t="str">
        <f t="shared" ca="1" si="20"/>
        <v>VariantAllowances</v>
      </c>
      <c r="BB323" s="44" t="str">
        <f t="shared" si="18"/>
        <v>TO variant allowances</v>
      </c>
      <c r="BC323" s="44" t="str">
        <f t="shared" si="19"/>
        <v>Variant allowances percentage allocation</v>
      </c>
    </row>
    <row r="324" spans="5:55">
      <c r="E324" s="212" t="str">
        <f>NGT_TO!E399</f>
        <v>Spare 3</v>
      </c>
      <c r="G324" s="43" t="s">
        <v>33</v>
      </c>
      <c r="H324" s="43" t="str">
        <f>NGT_TO!H399</f>
        <v>Non-load (opex)</v>
      </c>
      <c r="AU324" s="175">
        <f>NGT_TO!AU399</f>
        <v>0</v>
      </c>
      <c r="AV324" s="56">
        <f>NGT_TO!AV399</f>
        <v>0</v>
      </c>
      <c r="AW324" s="56">
        <f>NGT_TO!AW399</f>
        <v>0</v>
      </c>
      <c r="AX324" s="56">
        <f>NGT_TO!AX399</f>
        <v>0</v>
      </c>
      <c r="AY324" s="186">
        <f>NGT_TO!AY399</f>
        <v>0</v>
      </c>
      <c r="AZ324"/>
      <c r="BA324" s="44" t="str">
        <f t="shared" ca="1" si="20"/>
        <v>VariantAllowances</v>
      </c>
      <c r="BB324" s="44" t="str">
        <f t="shared" si="18"/>
        <v>TO variant allowances</v>
      </c>
      <c r="BC324" s="44" t="str">
        <f t="shared" si="19"/>
        <v>Variant allowances percentage allocation</v>
      </c>
    </row>
    <row r="325" spans="5:55">
      <c r="E325" s="201" t="str">
        <f>NGT_TO!E400</f>
        <v>Spare 3</v>
      </c>
      <c r="F325" s="225"/>
      <c r="G325" s="202" t="s">
        <v>33</v>
      </c>
      <c r="H325" s="202" t="str">
        <f>NGT_TO!H400</f>
        <v>Indirects (opex)</v>
      </c>
      <c r="I325" s="202"/>
      <c r="J325" s="202"/>
      <c r="K325" s="202"/>
      <c r="L325" s="202"/>
      <c r="M325" s="202"/>
      <c r="N325" s="202"/>
      <c r="O325" s="202"/>
      <c r="P325" s="202"/>
      <c r="Q325" s="202"/>
      <c r="R325" s="202"/>
      <c r="S325" s="202"/>
      <c r="T325" s="202"/>
      <c r="U325" s="202"/>
      <c r="V325" s="202"/>
      <c r="W325" s="202"/>
      <c r="X325" s="202"/>
      <c r="Y325" s="202"/>
      <c r="Z325" s="202"/>
      <c r="AA325" s="202"/>
      <c r="AB325" s="202"/>
      <c r="AC325" s="202"/>
      <c r="AD325" s="202"/>
      <c r="AE325" s="202"/>
      <c r="AF325" s="202"/>
      <c r="AG325" s="202"/>
      <c r="AH325" s="202"/>
      <c r="AI325" s="202"/>
      <c r="AJ325" s="202"/>
      <c r="AK325" s="202"/>
      <c r="AL325" s="202"/>
      <c r="AM325" s="202"/>
      <c r="AN325" s="202"/>
      <c r="AO325" s="202"/>
      <c r="AP325" s="202"/>
      <c r="AQ325" s="202"/>
      <c r="AR325" s="202"/>
      <c r="AS325" s="202"/>
      <c r="AT325" s="203"/>
      <c r="AU325" s="226">
        <f>NGT_TO!AU400</f>
        <v>0</v>
      </c>
      <c r="AV325" s="227">
        <f>NGT_TO!AV400</f>
        <v>0</v>
      </c>
      <c r="AW325" s="227">
        <f>NGT_TO!AW400</f>
        <v>0</v>
      </c>
      <c r="AX325" s="227">
        <f>NGT_TO!AX400</f>
        <v>0</v>
      </c>
      <c r="AY325" s="228">
        <f>NGT_TO!AY400</f>
        <v>0</v>
      </c>
      <c r="AZ325"/>
      <c r="BA325" s="44" t="str">
        <f t="shared" ca="1" si="20"/>
        <v>VariantAllowances</v>
      </c>
      <c r="BB325" s="44" t="str">
        <f t="shared" si="18"/>
        <v>TO variant allowances</v>
      </c>
      <c r="BC325" s="44" t="str">
        <f t="shared" si="19"/>
        <v>Variant allowances percentage allocation</v>
      </c>
    </row>
    <row r="326" spans="5:55">
      <c r="E326" s="195" t="str">
        <f>NGT_TO!E401</f>
        <v>Spare 4</v>
      </c>
      <c r="F326" s="221"/>
      <c r="G326" s="196" t="s">
        <v>33</v>
      </c>
      <c r="H326" s="196" t="str">
        <f>NGT_TO!H401</f>
        <v>Load related capex</v>
      </c>
      <c r="I326" s="196"/>
      <c r="J326" s="196"/>
      <c r="K326" s="196"/>
      <c r="L326" s="196"/>
      <c r="M326" s="196"/>
      <c r="N326" s="196"/>
      <c r="O326" s="196"/>
      <c r="P326" s="196"/>
      <c r="Q326" s="196"/>
      <c r="R326" s="196"/>
      <c r="S326" s="196"/>
      <c r="T326" s="196"/>
      <c r="U326" s="196"/>
      <c r="V326" s="196"/>
      <c r="W326" s="196"/>
      <c r="X326" s="196"/>
      <c r="Y326" s="196"/>
      <c r="Z326" s="196"/>
      <c r="AA326" s="196"/>
      <c r="AB326" s="196"/>
      <c r="AC326" s="196"/>
      <c r="AD326" s="196"/>
      <c r="AE326" s="196"/>
      <c r="AF326" s="196"/>
      <c r="AG326" s="196"/>
      <c r="AH326" s="196"/>
      <c r="AI326" s="196"/>
      <c r="AJ326" s="196"/>
      <c r="AK326" s="196"/>
      <c r="AL326" s="196"/>
      <c r="AM326" s="196"/>
      <c r="AN326" s="196"/>
      <c r="AO326" s="196"/>
      <c r="AP326" s="196"/>
      <c r="AQ326" s="196"/>
      <c r="AR326" s="196"/>
      <c r="AS326" s="196"/>
      <c r="AT326" s="197"/>
      <c r="AU326" s="222">
        <f>NGT_TO!AU401</f>
        <v>0</v>
      </c>
      <c r="AV326" s="223">
        <f>NGT_TO!AV401</f>
        <v>0</v>
      </c>
      <c r="AW326" s="223">
        <f>NGT_TO!AW401</f>
        <v>0</v>
      </c>
      <c r="AX326" s="223">
        <f>NGT_TO!AX401</f>
        <v>0</v>
      </c>
      <c r="AY326" s="224">
        <f>NGT_TO!AY401</f>
        <v>0</v>
      </c>
      <c r="AZ326"/>
      <c r="BA326" s="44" t="str">
        <f t="shared" ca="1" si="20"/>
        <v>VariantAllowances</v>
      </c>
      <c r="BB326" s="44" t="str">
        <f t="shared" si="18"/>
        <v>TO variant allowances</v>
      </c>
      <c r="BC326" s="44" t="str">
        <f t="shared" si="19"/>
        <v>Variant allowances percentage allocation</v>
      </c>
    </row>
    <row r="327" spans="5:55">
      <c r="E327" s="212" t="str">
        <f>NGT_TO!E402</f>
        <v>Spare 4</v>
      </c>
      <c r="G327" s="43" t="s">
        <v>33</v>
      </c>
      <c r="H327" s="43" t="str">
        <f>NGT_TO!H402</f>
        <v>Asset replacement capex</v>
      </c>
      <c r="AU327" s="175">
        <f>NGT_TO!AU402</f>
        <v>0</v>
      </c>
      <c r="AV327" s="56">
        <f>NGT_TO!AV402</f>
        <v>0</v>
      </c>
      <c r="AW327" s="56">
        <f>NGT_TO!AW402</f>
        <v>0</v>
      </c>
      <c r="AX327" s="56">
        <f>NGT_TO!AX402</f>
        <v>0</v>
      </c>
      <c r="AY327" s="186">
        <f>NGT_TO!AY402</f>
        <v>0</v>
      </c>
      <c r="AZ327"/>
      <c r="BA327" s="44" t="str">
        <f t="shared" ca="1" si="20"/>
        <v>VariantAllowances</v>
      </c>
      <c r="BB327" s="44" t="str">
        <f t="shared" si="18"/>
        <v>TO variant allowances</v>
      </c>
      <c r="BC327" s="44" t="str">
        <f t="shared" si="19"/>
        <v>Variant allowances percentage allocation</v>
      </c>
    </row>
    <row r="328" spans="5:55">
      <c r="E328" s="212" t="str">
        <f>NGT_TO!E403</f>
        <v>Spare 4</v>
      </c>
      <c r="G328" s="43" t="s">
        <v>33</v>
      </c>
      <c r="H328" s="43" t="str">
        <f>NGT_TO!H403</f>
        <v>Other capex</v>
      </c>
      <c r="AU328" s="175">
        <f>NGT_TO!AU403</f>
        <v>0</v>
      </c>
      <c r="AV328" s="56">
        <f>NGT_TO!AV403</f>
        <v>0</v>
      </c>
      <c r="AW328" s="56">
        <f>NGT_TO!AW403</f>
        <v>0</v>
      </c>
      <c r="AX328" s="56">
        <f>NGT_TO!AX403</f>
        <v>0</v>
      </c>
      <c r="AY328" s="186">
        <f>NGT_TO!AY403</f>
        <v>0</v>
      </c>
      <c r="AZ328"/>
      <c r="BA328" s="44" t="str">
        <f t="shared" ca="1" si="20"/>
        <v>VariantAllowances</v>
      </c>
      <c r="BB328" s="44" t="str">
        <f t="shared" si="18"/>
        <v>TO variant allowances</v>
      </c>
      <c r="BC328" s="44" t="str">
        <f t="shared" si="19"/>
        <v>Variant allowances percentage allocation</v>
      </c>
    </row>
    <row r="329" spans="5:55">
      <c r="E329" s="212" t="str">
        <f>NGT_TO!E404</f>
        <v>Spare 4</v>
      </c>
      <c r="G329" s="43" t="s">
        <v>33</v>
      </c>
      <c r="H329" s="43" t="str">
        <f>NGT_TO!H404</f>
        <v>Non-operational capex</v>
      </c>
      <c r="AU329" s="175">
        <f>NGT_TO!AU404</f>
        <v>0</v>
      </c>
      <c r="AV329" s="56">
        <f>NGT_TO!AV404</f>
        <v>0</v>
      </c>
      <c r="AW329" s="56">
        <f>NGT_TO!AW404</f>
        <v>0</v>
      </c>
      <c r="AX329" s="56">
        <f>NGT_TO!AX404</f>
        <v>0</v>
      </c>
      <c r="AY329" s="186">
        <f>NGT_TO!AY404</f>
        <v>0</v>
      </c>
      <c r="AZ329"/>
      <c r="BA329" s="44" t="str">
        <f t="shared" ca="1" si="20"/>
        <v>VariantAllowances</v>
      </c>
      <c r="BB329" s="44" t="str">
        <f t="shared" si="18"/>
        <v>TO variant allowances</v>
      </c>
      <c r="BC329" s="44" t="str">
        <f t="shared" si="19"/>
        <v>Variant allowances percentage allocation</v>
      </c>
    </row>
    <row r="330" spans="5:55">
      <c r="E330" s="212" t="str">
        <f>NGT_TO!E405</f>
        <v>Spare 4</v>
      </c>
      <c r="G330" s="43" t="s">
        <v>33</v>
      </c>
      <c r="H330" s="43" t="str">
        <f>NGT_TO!H405</f>
        <v>Non-load (opex)</v>
      </c>
      <c r="AU330" s="175">
        <f>NGT_TO!AU405</f>
        <v>0</v>
      </c>
      <c r="AV330" s="56">
        <f>NGT_TO!AV405</f>
        <v>0</v>
      </c>
      <c r="AW330" s="56">
        <f>NGT_TO!AW405</f>
        <v>0</v>
      </c>
      <c r="AX330" s="56">
        <f>NGT_TO!AX405</f>
        <v>0</v>
      </c>
      <c r="AY330" s="186">
        <f>NGT_TO!AY405</f>
        <v>0</v>
      </c>
      <c r="AZ330"/>
      <c r="BA330" s="44" t="str">
        <f t="shared" ca="1" si="20"/>
        <v>VariantAllowances</v>
      </c>
      <c r="BB330" s="44" t="str">
        <f t="shared" si="18"/>
        <v>TO variant allowances</v>
      </c>
      <c r="BC330" s="44" t="str">
        <f t="shared" si="19"/>
        <v>Variant allowances percentage allocation</v>
      </c>
    </row>
    <row r="331" spans="5:55">
      <c r="E331" s="201" t="str">
        <f>NGT_TO!E406</f>
        <v>Spare 4</v>
      </c>
      <c r="F331" s="225"/>
      <c r="G331" s="202" t="s">
        <v>33</v>
      </c>
      <c r="H331" s="202" t="str">
        <f>NGT_TO!H406</f>
        <v>Indirects (opex)</v>
      </c>
      <c r="I331" s="202"/>
      <c r="J331" s="202"/>
      <c r="K331" s="202"/>
      <c r="L331" s="202"/>
      <c r="M331" s="202"/>
      <c r="N331" s="202"/>
      <c r="O331" s="202"/>
      <c r="P331" s="202"/>
      <c r="Q331" s="202"/>
      <c r="R331" s="202"/>
      <c r="S331" s="202"/>
      <c r="T331" s="202"/>
      <c r="U331" s="202"/>
      <c r="V331" s="202"/>
      <c r="W331" s="202"/>
      <c r="X331" s="202"/>
      <c r="Y331" s="202"/>
      <c r="Z331" s="202"/>
      <c r="AA331" s="202"/>
      <c r="AB331" s="202"/>
      <c r="AC331" s="202"/>
      <c r="AD331" s="202"/>
      <c r="AE331" s="202"/>
      <c r="AF331" s="202"/>
      <c r="AG331" s="202"/>
      <c r="AH331" s="202"/>
      <c r="AI331" s="202"/>
      <c r="AJ331" s="202"/>
      <c r="AK331" s="202"/>
      <c r="AL331" s="202"/>
      <c r="AM331" s="202"/>
      <c r="AN331" s="202"/>
      <c r="AO331" s="202"/>
      <c r="AP331" s="202"/>
      <c r="AQ331" s="202"/>
      <c r="AR331" s="202"/>
      <c r="AS331" s="202"/>
      <c r="AT331" s="203"/>
      <c r="AU331" s="226">
        <f>NGT_TO!AU406</f>
        <v>0</v>
      </c>
      <c r="AV331" s="227">
        <f>NGT_TO!AV406</f>
        <v>0</v>
      </c>
      <c r="AW331" s="227">
        <f>NGT_TO!AW406</f>
        <v>0</v>
      </c>
      <c r="AX331" s="227">
        <f>NGT_TO!AX406</f>
        <v>0</v>
      </c>
      <c r="AY331" s="228">
        <f>NGT_TO!AY406</f>
        <v>0</v>
      </c>
      <c r="AZ331"/>
      <c r="BA331" s="44" t="str">
        <f t="shared" ca="1" si="20"/>
        <v>VariantAllowances</v>
      </c>
      <c r="BB331" s="44" t="str">
        <f t="shared" si="18"/>
        <v>TO variant allowances</v>
      </c>
      <c r="BC331" s="44" t="str">
        <f t="shared" si="19"/>
        <v>Variant allowances percentage allocation</v>
      </c>
    </row>
    <row r="332" spans="5:55">
      <c r="E332" s="195" t="str">
        <f>NGT_TO!E407</f>
        <v>Spare 5</v>
      </c>
      <c r="F332" s="221"/>
      <c r="G332" s="196" t="s">
        <v>33</v>
      </c>
      <c r="H332" s="196" t="str">
        <f>NGT_TO!H407</f>
        <v>Load related capex</v>
      </c>
      <c r="I332" s="196"/>
      <c r="J332" s="196"/>
      <c r="K332" s="196"/>
      <c r="L332" s="196"/>
      <c r="M332" s="196"/>
      <c r="N332" s="196"/>
      <c r="O332" s="196"/>
      <c r="P332" s="196"/>
      <c r="Q332" s="196"/>
      <c r="R332" s="196"/>
      <c r="S332" s="196"/>
      <c r="T332" s="196"/>
      <c r="U332" s="196"/>
      <c r="V332" s="196"/>
      <c r="W332" s="196"/>
      <c r="X332" s="196"/>
      <c r="Y332" s="196"/>
      <c r="Z332" s="196"/>
      <c r="AA332" s="196"/>
      <c r="AB332" s="196"/>
      <c r="AC332" s="196"/>
      <c r="AD332" s="196"/>
      <c r="AE332" s="196"/>
      <c r="AF332" s="196"/>
      <c r="AG332" s="196"/>
      <c r="AH332" s="196"/>
      <c r="AI332" s="196"/>
      <c r="AJ332" s="196"/>
      <c r="AK332" s="196"/>
      <c r="AL332" s="196"/>
      <c r="AM332" s="196"/>
      <c r="AN332" s="196"/>
      <c r="AO332" s="196"/>
      <c r="AP332" s="196"/>
      <c r="AQ332" s="196"/>
      <c r="AR332" s="196"/>
      <c r="AS332" s="196"/>
      <c r="AT332" s="197"/>
      <c r="AU332" s="222">
        <f>NGT_TO!AU407</f>
        <v>0</v>
      </c>
      <c r="AV332" s="223">
        <f>NGT_TO!AV407</f>
        <v>0</v>
      </c>
      <c r="AW332" s="223">
        <f>NGT_TO!AW407</f>
        <v>0</v>
      </c>
      <c r="AX332" s="223">
        <f>NGT_TO!AX407</f>
        <v>0</v>
      </c>
      <c r="AY332" s="224">
        <f>NGT_TO!AY407</f>
        <v>0</v>
      </c>
      <c r="AZ332"/>
      <c r="BA332" s="44" t="str">
        <f t="shared" ca="1" si="20"/>
        <v>VariantAllowances</v>
      </c>
      <c r="BB332" s="44" t="str">
        <f t="shared" si="18"/>
        <v>TO variant allowances</v>
      </c>
      <c r="BC332" s="44" t="str">
        <f t="shared" si="19"/>
        <v>Variant allowances percentage allocation</v>
      </c>
    </row>
    <row r="333" spans="5:55">
      <c r="E333" s="212" t="str">
        <f>NGT_TO!E408</f>
        <v>Spare 5</v>
      </c>
      <c r="G333" s="43" t="s">
        <v>33</v>
      </c>
      <c r="H333" s="43" t="str">
        <f>NGT_TO!H408</f>
        <v>Asset replacement capex</v>
      </c>
      <c r="AU333" s="175">
        <f>NGT_TO!AU408</f>
        <v>0</v>
      </c>
      <c r="AV333" s="56">
        <f>NGT_TO!AV408</f>
        <v>0</v>
      </c>
      <c r="AW333" s="56">
        <f>NGT_TO!AW408</f>
        <v>0</v>
      </c>
      <c r="AX333" s="56">
        <f>NGT_TO!AX408</f>
        <v>0</v>
      </c>
      <c r="AY333" s="186">
        <f>NGT_TO!AY408</f>
        <v>0</v>
      </c>
      <c r="AZ333"/>
      <c r="BA333" s="44" t="str">
        <f t="shared" ca="1" si="20"/>
        <v>VariantAllowances</v>
      </c>
      <c r="BB333" s="44" t="str">
        <f t="shared" si="18"/>
        <v>TO variant allowances</v>
      </c>
      <c r="BC333" s="44" t="str">
        <f t="shared" si="19"/>
        <v>Variant allowances percentage allocation</v>
      </c>
    </row>
    <row r="334" spans="5:55">
      <c r="E334" s="212" t="str">
        <f>NGT_TO!E409</f>
        <v>Spare 5</v>
      </c>
      <c r="G334" s="43" t="s">
        <v>33</v>
      </c>
      <c r="H334" s="43" t="str">
        <f>NGT_TO!H409</f>
        <v>Other capex</v>
      </c>
      <c r="AU334" s="175">
        <f>NGT_TO!AU409</f>
        <v>0</v>
      </c>
      <c r="AV334" s="56">
        <f>NGT_TO!AV409</f>
        <v>0</v>
      </c>
      <c r="AW334" s="56">
        <f>NGT_TO!AW409</f>
        <v>0</v>
      </c>
      <c r="AX334" s="56">
        <f>NGT_TO!AX409</f>
        <v>0</v>
      </c>
      <c r="AY334" s="186">
        <f>NGT_TO!AY409</f>
        <v>0</v>
      </c>
      <c r="AZ334"/>
      <c r="BA334" s="44" t="str">
        <f t="shared" ca="1" si="20"/>
        <v>VariantAllowances</v>
      </c>
      <c r="BB334" s="44" t="str">
        <f t="shared" si="18"/>
        <v>TO variant allowances</v>
      </c>
      <c r="BC334" s="44" t="str">
        <f t="shared" si="19"/>
        <v>Variant allowances percentage allocation</v>
      </c>
    </row>
    <row r="335" spans="5:55">
      <c r="E335" s="212" t="str">
        <f>NGT_TO!E410</f>
        <v>Spare 5</v>
      </c>
      <c r="G335" s="43" t="s">
        <v>33</v>
      </c>
      <c r="H335" s="43" t="str">
        <f>NGT_TO!H410</f>
        <v>Non-operational capex</v>
      </c>
      <c r="AU335" s="175">
        <f>NGT_TO!AU410</f>
        <v>0</v>
      </c>
      <c r="AV335" s="56">
        <f>NGT_TO!AV410</f>
        <v>0</v>
      </c>
      <c r="AW335" s="56">
        <f>NGT_TO!AW410</f>
        <v>0</v>
      </c>
      <c r="AX335" s="56">
        <f>NGT_TO!AX410</f>
        <v>0</v>
      </c>
      <c r="AY335" s="186">
        <f>NGT_TO!AY410</f>
        <v>0</v>
      </c>
      <c r="AZ335"/>
      <c r="BA335" s="44" t="str">
        <f t="shared" ca="1" si="20"/>
        <v>VariantAllowances</v>
      </c>
      <c r="BB335" s="44" t="str">
        <f t="shared" si="18"/>
        <v>TO variant allowances</v>
      </c>
      <c r="BC335" s="44" t="str">
        <f t="shared" si="19"/>
        <v>Variant allowances percentage allocation</v>
      </c>
    </row>
    <row r="336" spans="5:55">
      <c r="E336" s="212" t="str">
        <f>NGT_TO!E411</f>
        <v>Spare 5</v>
      </c>
      <c r="G336" s="43" t="s">
        <v>33</v>
      </c>
      <c r="H336" s="43" t="str">
        <f>NGT_TO!H411</f>
        <v>Non-load (opex)</v>
      </c>
      <c r="AU336" s="175">
        <f>NGT_TO!AU411</f>
        <v>0</v>
      </c>
      <c r="AV336" s="56">
        <f>NGT_TO!AV411</f>
        <v>0</v>
      </c>
      <c r="AW336" s="56">
        <f>NGT_TO!AW411</f>
        <v>0</v>
      </c>
      <c r="AX336" s="56">
        <f>NGT_TO!AX411</f>
        <v>0</v>
      </c>
      <c r="AY336" s="186">
        <f>NGT_TO!AY411</f>
        <v>0</v>
      </c>
      <c r="AZ336"/>
      <c r="BA336" s="44" t="str">
        <f t="shared" ca="1" si="20"/>
        <v>VariantAllowances</v>
      </c>
      <c r="BB336" s="44" t="str">
        <f t="shared" si="18"/>
        <v>TO variant allowances</v>
      </c>
      <c r="BC336" s="44" t="str">
        <f t="shared" si="19"/>
        <v>Variant allowances percentage allocation</v>
      </c>
    </row>
    <row r="337" spans="5:55">
      <c r="E337" s="201" t="str">
        <f>NGT_TO!E412</f>
        <v>Spare 5</v>
      </c>
      <c r="F337" s="225"/>
      <c r="G337" s="202" t="s">
        <v>33</v>
      </c>
      <c r="H337" s="202" t="str">
        <f>NGT_TO!H412</f>
        <v>Indirects (opex)</v>
      </c>
      <c r="I337" s="202"/>
      <c r="J337" s="202"/>
      <c r="K337" s="202"/>
      <c r="L337" s="202"/>
      <c r="M337" s="202"/>
      <c r="N337" s="202"/>
      <c r="O337" s="202"/>
      <c r="P337" s="202"/>
      <c r="Q337" s="202"/>
      <c r="R337" s="202"/>
      <c r="S337" s="202"/>
      <c r="T337" s="202"/>
      <c r="U337" s="202"/>
      <c r="V337" s="202"/>
      <c r="W337" s="202"/>
      <c r="X337" s="202"/>
      <c r="Y337" s="202"/>
      <c r="Z337" s="202"/>
      <c r="AA337" s="202"/>
      <c r="AB337" s="202"/>
      <c r="AC337" s="202"/>
      <c r="AD337" s="202"/>
      <c r="AE337" s="202"/>
      <c r="AF337" s="202"/>
      <c r="AG337" s="202"/>
      <c r="AH337" s="202"/>
      <c r="AI337" s="202"/>
      <c r="AJ337" s="202"/>
      <c r="AK337" s="202"/>
      <c r="AL337" s="202"/>
      <c r="AM337" s="202"/>
      <c r="AN337" s="202"/>
      <c r="AO337" s="202"/>
      <c r="AP337" s="202"/>
      <c r="AQ337" s="202"/>
      <c r="AR337" s="202"/>
      <c r="AS337" s="202"/>
      <c r="AT337" s="203"/>
      <c r="AU337" s="226">
        <f>NGT_TO!AU412</f>
        <v>0</v>
      </c>
      <c r="AV337" s="227">
        <f>NGT_TO!AV412</f>
        <v>0</v>
      </c>
      <c r="AW337" s="227">
        <f>NGT_TO!AW412</f>
        <v>0</v>
      </c>
      <c r="AX337" s="227">
        <f>NGT_TO!AX412</f>
        <v>0</v>
      </c>
      <c r="AY337" s="228">
        <f>NGT_TO!AY412</f>
        <v>0</v>
      </c>
      <c r="AZ337"/>
      <c r="BA337" s="44" t="str">
        <f t="shared" ca="1" si="20"/>
        <v>VariantAllowances</v>
      </c>
      <c r="BB337" s="44" t="str">
        <f t="shared" si="18"/>
        <v>TO variant allowances</v>
      </c>
      <c r="BC337" s="44" t="str">
        <f t="shared" si="19"/>
        <v>Variant allowances percentage allocation</v>
      </c>
    </row>
    <row r="338" spans="5:55">
      <c r="E338" s="195" t="str">
        <f>NGT_TO!E413</f>
        <v>Spare 6</v>
      </c>
      <c r="F338" s="221"/>
      <c r="G338" s="196" t="s">
        <v>33</v>
      </c>
      <c r="H338" s="196" t="str">
        <f>NGT_TO!H413</f>
        <v>Load related capex</v>
      </c>
      <c r="I338" s="196"/>
      <c r="J338" s="196"/>
      <c r="K338" s="196"/>
      <c r="L338" s="196"/>
      <c r="M338" s="196"/>
      <c r="N338" s="196"/>
      <c r="O338" s="196"/>
      <c r="P338" s="196"/>
      <c r="Q338" s="196"/>
      <c r="R338" s="196"/>
      <c r="S338" s="196"/>
      <c r="T338" s="196"/>
      <c r="U338" s="196"/>
      <c r="V338" s="196"/>
      <c r="W338" s="196"/>
      <c r="X338" s="196"/>
      <c r="Y338" s="196"/>
      <c r="Z338" s="196"/>
      <c r="AA338" s="196"/>
      <c r="AB338" s="196"/>
      <c r="AC338" s="196"/>
      <c r="AD338" s="196"/>
      <c r="AE338" s="196"/>
      <c r="AF338" s="196"/>
      <c r="AG338" s="196"/>
      <c r="AH338" s="196"/>
      <c r="AI338" s="196"/>
      <c r="AJ338" s="196"/>
      <c r="AK338" s="196"/>
      <c r="AL338" s="196"/>
      <c r="AM338" s="196"/>
      <c r="AN338" s="196"/>
      <c r="AO338" s="196"/>
      <c r="AP338" s="196"/>
      <c r="AQ338" s="196"/>
      <c r="AR338" s="196"/>
      <c r="AS338" s="196"/>
      <c r="AT338" s="197"/>
      <c r="AU338" s="222">
        <f>NGT_TO!AU413</f>
        <v>0</v>
      </c>
      <c r="AV338" s="223">
        <f>NGT_TO!AV413</f>
        <v>0</v>
      </c>
      <c r="AW338" s="223">
        <f>NGT_TO!AW413</f>
        <v>0</v>
      </c>
      <c r="AX338" s="223">
        <f>NGT_TO!AX413</f>
        <v>0</v>
      </c>
      <c r="AY338" s="224">
        <f>NGT_TO!AY413</f>
        <v>0</v>
      </c>
      <c r="AZ338"/>
      <c r="BA338" s="44" t="str">
        <f t="shared" ca="1" si="20"/>
        <v>VariantAllowances</v>
      </c>
      <c r="BB338" s="44" t="str">
        <f t="shared" si="18"/>
        <v>TO variant allowances</v>
      </c>
      <c r="BC338" s="44" t="str">
        <f t="shared" si="19"/>
        <v>Variant allowances percentage allocation</v>
      </c>
    </row>
    <row r="339" spans="5:55">
      <c r="E339" s="212" t="str">
        <f>NGT_TO!E414</f>
        <v>Spare 6</v>
      </c>
      <c r="G339" s="43" t="s">
        <v>33</v>
      </c>
      <c r="H339" s="43" t="str">
        <f>NGT_TO!H414</f>
        <v>Asset replacement capex</v>
      </c>
      <c r="AU339" s="175">
        <f>NGT_TO!AU414</f>
        <v>0</v>
      </c>
      <c r="AV339" s="56">
        <f>NGT_TO!AV414</f>
        <v>0</v>
      </c>
      <c r="AW339" s="56">
        <f>NGT_TO!AW414</f>
        <v>0</v>
      </c>
      <c r="AX339" s="56">
        <f>NGT_TO!AX414</f>
        <v>0</v>
      </c>
      <c r="AY339" s="186">
        <f>NGT_TO!AY414</f>
        <v>0</v>
      </c>
      <c r="AZ339"/>
      <c r="BA339" s="44" t="str">
        <f t="shared" ca="1" si="20"/>
        <v>VariantAllowances</v>
      </c>
      <c r="BB339" s="44" t="str">
        <f t="shared" si="18"/>
        <v>TO variant allowances</v>
      </c>
      <c r="BC339" s="44" t="str">
        <f t="shared" si="19"/>
        <v>Variant allowances percentage allocation</v>
      </c>
    </row>
    <row r="340" spans="5:55">
      <c r="E340" s="212" t="str">
        <f>NGT_TO!E415</f>
        <v>Spare 6</v>
      </c>
      <c r="G340" s="43" t="s">
        <v>33</v>
      </c>
      <c r="H340" s="43" t="str">
        <f>NGT_TO!H415</f>
        <v>Other capex</v>
      </c>
      <c r="AU340" s="175">
        <f>NGT_TO!AU415</f>
        <v>0</v>
      </c>
      <c r="AV340" s="56">
        <f>NGT_TO!AV415</f>
        <v>0</v>
      </c>
      <c r="AW340" s="56">
        <f>NGT_TO!AW415</f>
        <v>0</v>
      </c>
      <c r="AX340" s="56">
        <f>NGT_TO!AX415</f>
        <v>0</v>
      </c>
      <c r="AY340" s="186">
        <f>NGT_TO!AY415</f>
        <v>0</v>
      </c>
      <c r="AZ340"/>
      <c r="BA340" s="44" t="str">
        <f t="shared" ca="1" si="20"/>
        <v>VariantAllowances</v>
      </c>
      <c r="BB340" s="44" t="str">
        <f t="shared" si="18"/>
        <v>TO variant allowances</v>
      </c>
      <c r="BC340" s="44" t="str">
        <f t="shared" si="19"/>
        <v>Variant allowances percentage allocation</v>
      </c>
    </row>
    <row r="341" spans="5:55">
      <c r="E341" s="212" t="str">
        <f>NGT_TO!E416</f>
        <v>Spare 6</v>
      </c>
      <c r="G341" s="43" t="s">
        <v>33</v>
      </c>
      <c r="H341" s="43" t="str">
        <f>NGT_TO!H416</f>
        <v>Non-operational capex</v>
      </c>
      <c r="AU341" s="175">
        <f>NGT_TO!AU416</f>
        <v>0</v>
      </c>
      <c r="AV341" s="56">
        <f>NGT_TO!AV416</f>
        <v>0</v>
      </c>
      <c r="AW341" s="56">
        <f>NGT_TO!AW416</f>
        <v>0</v>
      </c>
      <c r="AX341" s="56">
        <f>NGT_TO!AX416</f>
        <v>0</v>
      </c>
      <c r="AY341" s="186">
        <f>NGT_TO!AY416</f>
        <v>0</v>
      </c>
      <c r="AZ341"/>
      <c r="BA341" s="44" t="str">
        <f t="shared" ca="1" si="20"/>
        <v>VariantAllowances</v>
      </c>
      <c r="BB341" s="44" t="str">
        <f t="shared" si="18"/>
        <v>TO variant allowances</v>
      </c>
      <c r="BC341" s="44" t="str">
        <f t="shared" si="19"/>
        <v>Variant allowances percentage allocation</v>
      </c>
    </row>
    <row r="342" spans="5:55">
      <c r="E342" s="212" t="str">
        <f>NGT_TO!E417</f>
        <v>Spare 6</v>
      </c>
      <c r="G342" s="43" t="s">
        <v>33</v>
      </c>
      <c r="H342" s="43" t="str">
        <f>NGT_TO!H417</f>
        <v>Non-load (opex)</v>
      </c>
      <c r="AU342" s="175">
        <f>NGT_TO!AU417</f>
        <v>0</v>
      </c>
      <c r="AV342" s="56">
        <f>NGT_TO!AV417</f>
        <v>0</v>
      </c>
      <c r="AW342" s="56">
        <f>NGT_TO!AW417</f>
        <v>0</v>
      </c>
      <c r="AX342" s="56">
        <f>NGT_TO!AX417</f>
        <v>0</v>
      </c>
      <c r="AY342" s="186">
        <f>NGT_TO!AY417</f>
        <v>0</v>
      </c>
      <c r="AZ342"/>
      <c r="BA342" s="44" t="str">
        <f t="shared" ca="1" si="20"/>
        <v>VariantAllowances</v>
      </c>
      <c r="BB342" s="44" t="str">
        <f t="shared" si="18"/>
        <v>TO variant allowances</v>
      </c>
      <c r="BC342" s="44" t="str">
        <f t="shared" si="19"/>
        <v>Variant allowances percentage allocation</v>
      </c>
    </row>
    <row r="343" spans="5:55">
      <c r="E343" s="201" t="str">
        <f>NGT_TO!E418</f>
        <v>Spare 6</v>
      </c>
      <c r="F343" s="225"/>
      <c r="G343" s="202" t="s">
        <v>33</v>
      </c>
      <c r="H343" s="202" t="str">
        <f>NGT_TO!H418</f>
        <v>Indirects (opex)</v>
      </c>
      <c r="I343" s="202"/>
      <c r="J343" s="202"/>
      <c r="K343" s="202"/>
      <c r="L343" s="202"/>
      <c r="M343" s="202"/>
      <c r="N343" s="202"/>
      <c r="O343" s="202"/>
      <c r="P343" s="202"/>
      <c r="Q343" s="202"/>
      <c r="R343" s="202"/>
      <c r="S343" s="202"/>
      <c r="T343" s="202"/>
      <c r="U343" s="202"/>
      <c r="V343" s="202"/>
      <c r="W343" s="202"/>
      <c r="X343" s="202"/>
      <c r="Y343" s="202"/>
      <c r="Z343" s="202"/>
      <c r="AA343" s="202"/>
      <c r="AB343" s="202"/>
      <c r="AC343" s="202"/>
      <c r="AD343" s="202"/>
      <c r="AE343" s="202"/>
      <c r="AF343" s="202"/>
      <c r="AG343" s="202"/>
      <c r="AH343" s="202"/>
      <c r="AI343" s="202"/>
      <c r="AJ343" s="202"/>
      <c r="AK343" s="202"/>
      <c r="AL343" s="202"/>
      <c r="AM343" s="202"/>
      <c r="AN343" s="202"/>
      <c r="AO343" s="202"/>
      <c r="AP343" s="202"/>
      <c r="AQ343" s="202"/>
      <c r="AR343" s="202"/>
      <c r="AS343" s="202"/>
      <c r="AT343" s="203"/>
      <c r="AU343" s="226">
        <f>NGT_TO!AU418</f>
        <v>0</v>
      </c>
      <c r="AV343" s="227">
        <f>NGT_TO!AV418</f>
        <v>0</v>
      </c>
      <c r="AW343" s="227">
        <f>NGT_TO!AW418</f>
        <v>0</v>
      </c>
      <c r="AX343" s="227">
        <f>NGT_TO!AX418</f>
        <v>0</v>
      </c>
      <c r="AY343" s="228">
        <f>NGT_TO!AY418</f>
        <v>0</v>
      </c>
      <c r="AZ343"/>
      <c r="BA343" s="44" t="str">
        <f t="shared" ca="1" si="20"/>
        <v>VariantAllowances</v>
      </c>
      <c r="BB343" s="44" t="str">
        <f t="shared" si="18"/>
        <v>TO variant allowances</v>
      </c>
      <c r="BC343" s="44" t="str">
        <f t="shared" si="19"/>
        <v>Variant allowances percentage allocation</v>
      </c>
    </row>
    <row r="344" spans="5:55">
      <c r="E344" s="195" t="str">
        <f>NGT_TO!E419</f>
        <v>Spare 7</v>
      </c>
      <c r="F344" s="221"/>
      <c r="G344" s="196" t="s">
        <v>33</v>
      </c>
      <c r="H344" s="196" t="str">
        <f>NGT_TO!H419</f>
        <v>Load related capex</v>
      </c>
      <c r="I344" s="196"/>
      <c r="J344" s="196"/>
      <c r="K344" s="196"/>
      <c r="L344" s="196"/>
      <c r="M344" s="196"/>
      <c r="N344" s="196"/>
      <c r="O344" s="196"/>
      <c r="P344" s="196"/>
      <c r="Q344" s="196"/>
      <c r="R344" s="196"/>
      <c r="S344" s="196"/>
      <c r="T344" s="196"/>
      <c r="U344" s="196"/>
      <c r="V344" s="196"/>
      <c r="W344" s="196"/>
      <c r="X344" s="196"/>
      <c r="Y344" s="196"/>
      <c r="Z344" s="196"/>
      <c r="AA344" s="196"/>
      <c r="AB344" s="196"/>
      <c r="AC344" s="196"/>
      <c r="AD344" s="196"/>
      <c r="AE344" s="196"/>
      <c r="AF344" s="196"/>
      <c r="AG344" s="196"/>
      <c r="AH344" s="196"/>
      <c r="AI344" s="196"/>
      <c r="AJ344" s="196"/>
      <c r="AK344" s="196"/>
      <c r="AL344" s="196"/>
      <c r="AM344" s="196"/>
      <c r="AN344" s="196"/>
      <c r="AO344" s="196"/>
      <c r="AP344" s="196"/>
      <c r="AQ344" s="196"/>
      <c r="AR344" s="196"/>
      <c r="AS344" s="196"/>
      <c r="AT344" s="197"/>
      <c r="AU344" s="222">
        <f>NGT_TO!AU419</f>
        <v>0</v>
      </c>
      <c r="AV344" s="223">
        <f>NGT_TO!AV419</f>
        <v>0</v>
      </c>
      <c r="AW344" s="223">
        <f>NGT_TO!AW419</f>
        <v>0</v>
      </c>
      <c r="AX344" s="223">
        <f>NGT_TO!AX419</f>
        <v>0</v>
      </c>
      <c r="AY344" s="224">
        <f>NGT_TO!AY419</f>
        <v>0</v>
      </c>
      <c r="AZ344"/>
      <c r="BA344" s="44" t="str">
        <f t="shared" ca="1" si="20"/>
        <v>VariantAllowances</v>
      </c>
      <c r="BB344" s="44" t="str">
        <f t="shared" si="18"/>
        <v>TO variant allowances</v>
      </c>
      <c r="BC344" s="44" t="str">
        <f t="shared" si="19"/>
        <v>Variant allowances percentage allocation</v>
      </c>
    </row>
    <row r="345" spans="5:55">
      <c r="E345" s="212" t="str">
        <f>NGT_TO!E420</f>
        <v>Spare 7</v>
      </c>
      <c r="G345" s="43" t="s">
        <v>33</v>
      </c>
      <c r="H345" s="43" t="str">
        <f>NGT_TO!H420</f>
        <v>Asset replacement capex</v>
      </c>
      <c r="AU345" s="175">
        <f>NGT_TO!AU420</f>
        <v>0</v>
      </c>
      <c r="AV345" s="56">
        <f>NGT_TO!AV420</f>
        <v>0</v>
      </c>
      <c r="AW345" s="56">
        <f>NGT_TO!AW420</f>
        <v>0</v>
      </c>
      <c r="AX345" s="56">
        <f>NGT_TO!AX420</f>
        <v>0</v>
      </c>
      <c r="AY345" s="186">
        <f>NGT_TO!AY420</f>
        <v>0</v>
      </c>
      <c r="AZ345"/>
      <c r="BA345" s="44" t="str">
        <f t="shared" ca="1" si="20"/>
        <v>VariantAllowances</v>
      </c>
      <c r="BB345" s="44" t="str">
        <f t="shared" si="18"/>
        <v>TO variant allowances</v>
      </c>
      <c r="BC345" s="44" t="str">
        <f t="shared" si="19"/>
        <v>Variant allowances percentage allocation</v>
      </c>
    </row>
    <row r="346" spans="5:55">
      <c r="E346" s="212" t="str">
        <f>NGT_TO!E421</f>
        <v>Spare 7</v>
      </c>
      <c r="G346" s="43" t="s">
        <v>33</v>
      </c>
      <c r="H346" s="43" t="str">
        <f>NGT_TO!H421</f>
        <v>Other capex</v>
      </c>
      <c r="AU346" s="175">
        <f>NGT_TO!AU421</f>
        <v>0</v>
      </c>
      <c r="AV346" s="56">
        <f>NGT_TO!AV421</f>
        <v>0</v>
      </c>
      <c r="AW346" s="56">
        <f>NGT_TO!AW421</f>
        <v>0</v>
      </c>
      <c r="AX346" s="56">
        <f>NGT_TO!AX421</f>
        <v>0</v>
      </c>
      <c r="AY346" s="186">
        <f>NGT_TO!AY421</f>
        <v>0</v>
      </c>
      <c r="AZ346"/>
      <c r="BA346" s="44" t="str">
        <f t="shared" ca="1" si="20"/>
        <v>VariantAllowances</v>
      </c>
      <c r="BB346" s="44" t="str">
        <f t="shared" si="18"/>
        <v>TO variant allowances</v>
      </c>
      <c r="BC346" s="44" t="str">
        <f t="shared" si="19"/>
        <v>Variant allowances percentage allocation</v>
      </c>
    </row>
    <row r="347" spans="5:55">
      <c r="E347" s="212" t="str">
        <f>NGT_TO!E422</f>
        <v>Spare 7</v>
      </c>
      <c r="G347" s="43" t="s">
        <v>33</v>
      </c>
      <c r="H347" s="43" t="str">
        <f>NGT_TO!H422</f>
        <v>Non-operational capex</v>
      </c>
      <c r="AU347" s="175">
        <f>NGT_TO!AU422</f>
        <v>0</v>
      </c>
      <c r="AV347" s="56">
        <f>NGT_TO!AV422</f>
        <v>0</v>
      </c>
      <c r="AW347" s="56">
        <f>NGT_TO!AW422</f>
        <v>0</v>
      </c>
      <c r="AX347" s="56">
        <f>NGT_TO!AX422</f>
        <v>0</v>
      </c>
      <c r="AY347" s="186">
        <f>NGT_TO!AY422</f>
        <v>0</v>
      </c>
      <c r="AZ347"/>
      <c r="BA347" s="44" t="str">
        <f t="shared" ca="1" si="20"/>
        <v>VariantAllowances</v>
      </c>
      <c r="BB347" s="44" t="str">
        <f t="shared" si="18"/>
        <v>TO variant allowances</v>
      </c>
      <c r="BC347" s="44" t="str">
        <f t="shared" si="19"/>
        <v>Variant allowances percentage allocation</v>
      </c>
    </row>
    <row r="348" spans="5:55">
      <c r="E348" s="212" t="str">
        <f>NGT_TO!E423</f>
        <v>Spare 7</v>
      </c>
      <c r="G348" s="43" t="s">
        <v>33</v>
      </c>
      <c r="H348" s="43" t="str">
        <f>NGT_TO!H423</f>
        <v>Non-load (opex)</v>
      </c>
      <c r="AU348" s="175">
        <f>NGT_TO!AU423</f>
        <v>0</v>
      </c>
      <c r="AV348" s="56">
        <f>NGT_TO!AV423</f>
        <v>0</v>
      </c>
      <c r="AW348" s="56">
        <f>NGT_TO!AW423</f>
        <v>0</v>
      </c>
      <c r="AX348" s="56">
        <f>NGT_TO!AX423</f>
        <v>0</v>
      </c>
      <c r="AY348" s="186">
        <f>NGT_TO!AY423</f>
        <v>0</v>
      </c>
      <c r="AZ348"/>
      <c r="BA348" s="44" t="str">
        <f t="shared" ca="1" si="20"/>
        <v>VariantAllowances</v>
      </c>
      <c r="BB348" s="44" t="str">
        <f t="shared" si="18"/>
        <v>TO variant allowances</v>
      </c>
      <c r="BC348" s="44" t="str">
        <f t="shared" si="19"/>
        <v>Variant allowances percentage allocation</v>
      </c>
    </row>
    <row r="349" spans="5:55">
      <c r="E349" s="201" t="str">
        <f>NGT_TO!E424</f>
        <v>Spare 7</v>
      </c>
      <c r="F349" s="225"/>
      <c r="G349" s="202" t="s">
        <v>33</v>
      </c>
      <c r="H349" s="202" t="str">
        <f>NGT_TO!H424</f>
        <v>Indirects (opex)</v>
      </c>
      <c r="I349" s="202"/>
      <c r="J349" s="202"/>
      <c r="K349" s="202"/>
      <c r="L349" s="202"/>
      <c r="M349" s="202"/>
      <c r="N349" s="202"/>
      <c r="O349" s="202"/>
      <c r="P349" s="202"/>
      <c r="Q349" s="202"/>
      <c r="R349" s="202"/>
      <c r="S349" s="202"/>
      <c r="T349" s="202"/>
      <c r="U349" s="202"/>
      <c r="V349" s="202"/>
      <c r="W349" s="202"/>
      <c r="X349" s="202"/>
      <c r="Y349" s="202"/>
      <c r="Z349" s="202"/>
      <c r="AA349" s="202"/>
      <c r="AB349" s="202"/>
      <c r="AC349" s="202"/>
      <c r="AD349" s="202"/>
      <c r="AE349" s="202"/>
      <c r="AF349" s="202"/>
      <c r="AG349" s="202"/>
      <c r="AH349" s="202"/>
      <c r="AI349" s="202"/>
      <c r="AJ349" s="202"/>
      <c r="AK349" s="202"/>
      <c r="AL349" s="202"/>
      <c r="AM349" s="202"/>
      <c r="AN349" s="202"/>
      <c r="AO349" s="202"/>
      <c r="AP349" s="202"/>
      <c r="AQ349" s="202"/>
      <c r="AR349" s="202"/>
      <c r="AS349" s="202"/>
      <c r="AT349" s="203"/>
      <c r="AU349" s="226">
        <f>NGT_TO!AU424</f>
        <v>0</v>
      </c>
      <c r="AV349" s="227">
        <f>NGT_TO!AV424</f>
        <v>0</v>
      </c>
      <c r="AW349" s="227">
        <f>NGT_TO!AW424</f>
        <v>0</v>
      </c>
      <c r="AX349" s="227">
        <f>NGT_TO!AX424</f>
        <v>0</v>
      </c>
      <c r="AY349" s="228">
        <f>NGT_TO!AY424</f>
        <v>0</v>
      </c>
      <c r="AZ349"/>
      <c r="BA349" s="44" t="str">
        <f t="shared" ca="1" si="20"/>
        <v>VariantAllowances</v>
      </c>
      <c r="BB349" s="44" t="str">
        <f t="shared" si="18"/>
        <v>TO variant allowances</v>
      </c>
      <c r="BC349" s="44" t="str">
        <f t="shared" si="19"/>
        <v>Variant allowances percentage allocation</v>
      </c>
    </row>
    <row r="350" spans="5:55">
      <c r="E350" s="195" t="str">
        <f>NGT_TO!E425</f>
        <v>Spare 8</v>
      </c>
      <c r="F350" s="221"/>
      <c r="G350" s="196" t="s">
        <v>33</v>
      </c>
      <c r="H350" s="196" t="str">
        <f>NGT_TO!H425</f>
        <v>Load related capex</v>
      </c>
      <c r="I350" s="196"/>
      <c r="J350" s="196"/>
      <c r="K350" s="196"/>
      <c r="L350" s="196"/>
      <c r="M350" s="196"/>
      <c r="N350" s="196"/>
      <c r="O350" s="196"/>
      <c r="P350" s="196"/>
      <c r="Q350" s="196"/>
      <c r="R350" s="196"/>
      <c r="S350" s="196"/>
      <c r="T350" s="196"/>
      <c r="U350" s="196"/>
      <c r="V350" s="196"/>
      <c r="W350" s="196"/>
      <c r="X350" s="196"/>
      <c r="Y350" s="196"/>
      <c r="Z350" s="196"/>
      <c r="AA350" s="196"/>
      <c r="AB350" s="196"/>
      <c r="AC350" s="196"/>
      <c r="AD350" s="196"/>
      <c r="AE350" s="196"/>
      <c r="AF350" s="196"/>
      <c r="AG350" s="196"/>
      <c r="AH350" s="196"/>
      <c r="AI350" s="196"/>
      <c r="AJ350" s="196"/>
      <c r="AK350" s="196"/>
      <c r="AL350" s="196"/>
      <c r="AM350" s="196"/>
      <c r="AN350" s="196"/>
      <c r="AO350" s="196"/>
      <c r="AP350" s="196"/>
      <c r="AQ350" s="196"/>
      <c r="AR350" s="196"/>
      <c r="AS350" s="196"/>
      <c r="AT350" s="197"/>
      <c r="AU350" s="222">
        <f>NGT_TO!AU425</f>
        <v>0</v>
      </c>
      <c r="AV350" s="223">
        <f>NGT_TO!AV425</f>
        <v>0</v>
      </c>
      <c r="AW350" s="223">
        <f>NGT_TO!AW425</f>
        <v>0</v>
      </c>
      <c r="AX350" s="223">
        <f>NGT_TO!AX425</f>
        <v>0</v>
      </c>
      <c r="AY350" s="224">
        <f>NGT_TO!AY425</f>
        <v>0</v>
      </c>
      <c r="AZ350"/>
      <c r="BA350" s="44" t="str">
        <f t="shared" ca="1" si="20"/>
        <v>VariantAllowances</v>
      </c>
      <c r="BB350" s="44" t="str">
        <f t="shared" si="18"/>
        <v>TO variant allowances</v>
      </c>
      <c r="BC350" s="44" t="str">
        <f t="shared" si="19"/>
        <v>Variant allowances percentage allocation</v>
      </c>
    </row>
    <row r="351" spans="5:55">
      <c r="E351" s="212" t="str">
        <f>NGT_TO!E426</f>
        <v>Spare 8</v>
      </c>
      <c r="G351" s="43" t="s">
        <v>33</v>
      </c>
      <c r="H351" s="43" t="str">
        <f>NGT_TO!H426</f>
        <v>Asset replacement capex</v>
      </c>
      <c r="AU351" s="175">
        <f>NGT_TO!AU426</f>
        <v>0</v>
      </c>
      <c r="AV351" s="56">
        <f>NGT_TO!AV426</f>
        <v>0</v>
      </c>
      <c r="AW351" s="56">
        <f>NGT_TO!AW426</f>
        <v>0</v>
      </c>
      <c r="AX351" s="56">
        <f>NGT_TO!AX426</f>
        <v>0</v>
      </c>
      <c r="AY351" s="186">
        <f>NGT_TO!AY426</f>
        <v>0</v>
      </c>
      <c r="AZ351"/>
      <c r="BA351" s="44" t="str">
        <f t="shared" ca="1" si="20"/>
        <v>VariantAllowances</v>
      </c>
      <c r="BB351" s="44" t="str">
        <f t="shared" si="18"/>
        <v>TO variant allowances</v>
      </c>
      <c r="BC351" s="44" t="str">
        <f t="shared" si="19"/>
        <v>Variant allowances percentage allocation</v>
      </c>
    </row>
    <row r="352" spans="5:55">
      <c r="E352" s="212" t="str">
        <f>NGT_TO!E427</f>
        <v>Spare 8</v>
      </c>
      <c r="G352" s="43" t="s">
        <v>33</v>
      </c>
      <c r="H352" s="43" t="str">
        <f>NGT_TO!H427</f>
        <v>Other capex</v>
      </c>
      <c r="AU352" s="175">
        <f>NGT_TO!AU427</f>
        <v>0</v>
      </c>
      <c r="AV352" s="56">
        <f>NGT_TO!AV427</f>
        <v>0</v>
      </c>
      <c r="AW352" s="56">
        <f>NGT_TO!AW427</f>
        <v>0</v>
      </c>
      <c r="AX352" s="56">
        <f>NGT_TO!AX427</f>
        <v>0</v>
      </c>
      <c r="AY352" s="186">
        <f>NGT_TO!AY427</f>
        <v>0</v>
      </c>
      <c r="AZ352"/>
      <c r="BA352" s="44" t="str">
        <f t="shared" ca="1" si="20"/>
        <v>VariantAllowances</v>
      </c>
      <c r="BB352" s="44" t="str">
        <f t="shared" si="18"/>
        <v>TO variant allowances</v>
      </c>
      <c r="BC352" s="44" t="str">
        <f t="shared" si="19"/>
        <v>Variant allowances percentage allocation</v>
      </c>
    </row>
    <row r="353" spans="2:55">
      <c r="E353" s="212" t="str">
        <f>NGT_TO!E428</f>
        <v>Spare 8</v>
      </c>
      <c r="G353" s="43" t="s">
        <v>33</v>
      </c>
      <c r="H353" s="43" t="str">
        <f>NGT_TO!H428</f>
        <v>Non-operational capex</v>
      </c>
      <c r="AU353" s="175">
        <f>NGT_TO!AU428</f>
        <v>0</v>
      </c>
      <c r="AV353" s="56">
        <f>NGT_TO!AV428</f>
        <v>0</v>
      </c>
      <c r="AW353" s="56">
        <f>NGT_TO!AW428</f>
        <v>0</v>
      </c>
      <c r="AX353" s="56">
        <f>NGT_TO!AX428</f>
        <v>0</v>
      </c>
      <c r="AY353" s="186">
        <f>NGT_TO!AY428</f>
        <v>0</v>
      </c>
      <c r="AZ353"/>
      <c r="BA353" s="44" t="str">
        <f t="shared" ca="1" si="20"/>
        <v>VariantAllowances</v>
      </c>
      <c r="BB353" s="44" t="str">
        <f t="shared" si="18"/>
        <v>TO variant allowances</v>
      </c>
      <c r="BC353" s="44" t="str">
        <f t="shared" si="19"/>
        <v>Variant allowances percentage allocation</v>
      </c>
    </row>
    <row r="354" spans="2:55">
      <c r="E354" s="212" t="str">
        <f>NGT_TO!E429</f>
        <v>Spare 8</v>
      </c>
      <c r="G354" s="43" t="s">
        <v>33</v>
      </c>
      <c r="H354" s="43" t="str">
        <f>NGT_TO!H429</f>
        <v>Non-load (opex)</v>
      </c>
      <c r="AU354" s="175">
        <f>NGT_TO!AU429</f>
        <v>0</v>
      </c>
      <c r="AV354" s="56">
        <f>NGT_TO!AV429</f>
        <v>0</v>
      </c>
      <c r="AW354" s="56">
        <f>NGT_TO!AW429</f>
        <v>0</v>
      </c>
      <c r="AX354" s="56">
        <f>NGT_TO!AX429</f>
        <v>0</v>
      </c>
      <c r="AY354" s="186">
        <f>NGT_TO!AY429</f>
        <v>0</v>
      </c>
      <c r="AZ354"/>
      <c r="BA354" s="44" t="str">
        <f t="shared" ca="1" si="20"/>
        <v>VariantAllowances</v>
      </c>
      <c r="BB354" s="44" t="str">
        <f t="shared" ref="BB354:BB355" si="21">$A$6</f>
        <v>TO variant allowances</v>
      </c>
      <c r="BC354" s="44" t="str">
        <f t="shared" ref="BC354:BC355" si="22">$B$97</f>
        <v>Variant allowances percentage allocation</v>
      </c>
    </row>
    <row r="355" spans="2:55">
      <c r="E355" s="201" t="str">
        <f>NGT_TO!E430</f>
        <v>Spare 8</v>
      </c>
      <c r="F355" s="225"/>
      <c r="G355" s="202" t="s">
        <v>33</v>
      </c>
      <c r="H355" s="202" t="str">
        <f>NGT_TO!H430</f>
        <v>Indirects (opex)</v>
      </c>
      <c r="I355" s="202"/>
      <c r="J355" s="202"/>
      <c r="K355" s="202"/>
      <c r="L355" s="202"/>
      <c r="M355" s="202"/>
      <c r="N355" s="202"/>
      <c r="O355" s="202"/>
      <c r="P355" s="202"/>
      <c r="Q355" s="202"/>
      <c r="R355" s="202"/>
      <c r="S355" s="202"/>
      <c r="T355" s="202"/>
      <c r="U355" s="202"/>
      <c r="V355" s="202"/>
      <c r="W355" s="202"/>
      <c r="X355" s="202"/>
      <c r="Y355" s="202"/>
      <c r="Z355" s="202"/>
      <c r="AA355" s="202"/>
      <c r="AB355" s="202"/>
      <c r="AC355" s="202"/>
      <c r="AD355" s="202"/>
      <c r="AE355" s="202"/>
      <c r="AF355" s="202"/>
      <c r="AG355" s="202"/>
      <c r="AH355" s="202"/>
      <c r="AI355" s="202"/>
      <c r="AJ355" s="202"/>
      <c r="AK355" s="202"/>
      <c r="AL355" s="202"/>
      <c r="AM355" s="202"/>
      <c r="AN355" s="202"/>
      <c r="AO355" s="202"/>
      <c r="AP355" s="202"/>
      <c r="AQ355" s="202"/>
      <c r="AR355" s="202"/>
      <c r="AS355" s="202"/>
      <c r="AT355" s="203"/>
      <c r="AU355" s="226">
        <f>NGT_TO!AU430</f>
        <v>0</v>
      </c>
      <c r="AV355" s="227">
        <f>NGT_TO!AV430</f>
        <v>0</v>
      </c>
      <c r="AW355" s="227">
        <f>NGT_TO!AW430</f>
        <v>0</v>
      </c>
      <c r="AX355" s="227">
        <f>NGT_TO!AX430</f>
        <v>0</v>
      </c>
      <c r="AY355" s="228">
        <f>NGT_TO!AY430</f>
        <v>0</v>
      </c>
      <c r="AZ355"/>
      <c r="BA355" s="44" t="str">
        <f t="shared" ca="1" si="20"/>
        <v>VariantAllowances</v>
      </c>
      <c r="BB355" s="44" t="str">
        <f t="shared" si="21"/>
        <v>TO variant allowances</v>
      </c>
      <c r="BC355" s="44" t="str">
        <f t="shared" si="22"/>
        <v>Variant allowances percentage allocation</v>
      </c>
    </row>
    <row r="356" spans="2:55" customFormat="1" ht="14.5">
      <c r="F356" s="151"/>
      <c r="AT356" s="77"/>
      <c r="BA356" s="44"/>
      <c r="BB356" s="1"/>
      <c r="BC356" s="1"/>
    </row>
    <row r="357" spans="2:55" ht="17.5" thickBot="1">
      <c r="B357" s="11" t="s">
        <v>139</v>
      </c>
      <c r="AZ357"/>
    </row>
    <row r="358" spans="2:55" ht="16.5" thickTop="1">
      <c r="D358">
        <f t="shared" ref="D358:D421" si="23">INDEX($AY$53:$AY$95,MATCH(E358,$E$53:$E$95,0))</f>
        <v>1</v>
      </c>
      <c r="E358" s="195" t="str">
        <f t="shared" ref="E358:E421" si="24">E98</f>
        <v>Baseline Network Risk Output</v>
      </c>
      <c r="F358" s="221"/>
      <c r="G358" s="196" t="str">
        <f t="shared" ref="G358:G421" si="25">price_label</f>
        <v>£m 23/24 prices</v>
      </c>
      <c r="H358" s="196" t="str">
        <f t="shared" ref="H358:H421" si="26">H98</f>
        <v>Load related capex</v>
      </c>
      <c r="I358" s="196"/>
      <c r="J358" s="196"/>
      <c r="K358" s="196"/>
      <c r="L358" s="196"/>
      <c r="M358" s="196"/>
      <c r="N358" s="196"/>
      <c r="O358" s="196"/>
      <c r="P358" s="196"/>
      <c r="Q358" s="196"/>
      <c r="R358" s="196"/>
      <c r="S358" s="196"/>
      <c r="T358" s="196"/>
      <c r="U358" s="196"/>
      <c r="V358" s="196"/>
      <c r="W358" s="196"/>
      <c r="X358" s="196"/>
      <c r="Y358" s="196"/>
      <c r="Z358" s="196"/>
      <c r="AA358" s="196"/>
      <c r="AB358" s="196"/>
      <c r="AC358" s="196"/>
      <c r="AD358" s="196"/>
      <c r="AE358" s="196"/>
      <c r="AF358" s="196"/>
      <c r="AG358" s="196"/>
      <c r="AH358" s="196"/>
      <c r="AI358" s="196"/>
      <c r="AJ358" s="196"/>
      <c r="AK358" s="196"/>
      <c r="AL358" s="196"/>
      <c r="AM358" s="196"/>
      <c r="AN358" s="196"/>
      <c r="AO358" s="196"/>
      <c r="AP358" s="196"/>
      <c r="AQ358" s="196"/>
      <c r="AR358" s="196"/>
      <c r="AS358" s="196"/>
      <c r="AT358" s="197"/>
      <c r="AU358" s="229">
        <f t="shared" ref="AU358:AY367" si="27">INDEX(AU$8:AU$50,MATCH($E358,$E$8:$E$50,0))*AU98</f>
        <v>0</v>
      </c>
      <c r="AV358" s="230">
        <f t="shared" si="27"/>
        <v>0</v>
      </c>
      <c r="AW358" s="230">
        <f t="shared" si="27"/>
        <v>0</v>
      </c>
      <c r="AX358" s="230">
        <f t="shared" si="27"/>
        <v>0</v>
      </c>
      <c r="AY358" s="231">
        <f t="shared" si="27"/>
        <v>0</v>
      </c>
      <c r="AZ358"/>
      <c r="BA358" s="44" t="str">
        <f ca="1">$A$1</f>
        <v>VariantAllowances</v>
      </c>
      <c r="BB358" s="44" t="str">
        <f t="shared" ref="BB358:BB421" si="28">$A$6</f>
        <v>TO variant allowances</v>
      </c>
      <c r="BC358" s="44" t="str">
        <f t="shared" ref="BC358:BC421" si="29">$B$357</f>
        <v>Variant allowances allocation to totex categories</v>
      </c>
    </row>
    <row r="359" spans="2:55">
      <c r="D359">
        <f t="shared" si="23"/>
        <v>1</v>
      </c>
      <c r="E359" s="212" t="str">
        <f t="shared" si="24"/>
        <v>Baseline Network Risk Output</v>
      </c>
      <c r="G359" s="43" t="str">
        <f t="shared" si="25"/>
        <v>£m 23/24 prices</v>
      </c>
      <c r="H359" s="43" t="str">
        <f t="shared" si="26"/>
        <v>Asset replacement capex</v>
      </c>
      <c r="AU359" s="143">
        <f t="shared" si="27"/>
        <v>97.274288959155768</v>
      </c>
      <c r="AV359" s="54">
        <f t="shared" si="27"/>
        <v>100.99621266913842</v>
      </c>
      <c r="AW359" s="54">
        <f t="shared" si="27"/>
        <v>113.67179183309473</v>
      </c>
      <c r="AX359" s="54">
        <f t="shared" si="27"/>
        <v>116.72906477120164</v>
      </c>
      <c r="AY359" s="185">
        <f t="shared" si="27"/>
        <v>146.66950594248902</v>
      </c>
      <c r="AZ359"/>
      <c r="BA359" s="44" t="str">
        <f t="shared" ref="BA359:BA422" ca="1" si="30">$A$1</f>
        <v>VariantAllowances</v>
      </c>
      <c r="BB359" s="44" t="str">
        <f t="shared" si="28"/>
        <v>TO variant allowances</v>
      </c>
      <c r="BC359" s="44" t="str">
        <f t="shared" si="29"/>
        <v>Variant allowances allocation to totex categories</v>
      </c>
    </row>
    <row r="360" spans="2:55">
      <c r="D360">
        <f t="shared" si="23"/>
        <v>1</v>
      </c>
      <c r="E360" s="212" t="str">
        <f t="shared" si="24"/>
        <v>Baseline Network Risk Output</v>
      </c>
      <c r="G360" s="43" t="str">
        <f t="shared" si="25"/>
        <v>£m 23/24 prices</v>
      </c>
      <c r="H360" s="43" t="str">
        <f t="shared" si="26"/>
        <v>Other capex</v>
      </c>
      <c r="AU360" s="143">
        <f t="shared" si="27"/>
        <v>0</v>
      </c>
      <c r="AV360" s="54">
        <f t="shared" si="27"/>
        <v>0</v>
      </c>
      <c r="AW360" s="54">
        <f t="shared" si="27"/>
        <v>0</v>
      </c>
      <c r="AX360" s="54">
        <f t="shared" si="27"/>
        <v>0</v>
      </c>
      <c r="AY360" s="185">
        <f t="shared" si="27"/>
        <v>0</v>
      </c>
      <c r="AZ360"/>
      <c r="BA360" s="44" t="str">
        <f t="shared" ca="1" si="30"/>
        <v>VariantAllowances</v>
      </c>
      <c r="BB360" s="44" t="str">
        <f t="shared" si="28"/>
        <v>TO variant allowances</v>
      </c>
      <c r="BC360" s="44" t="str">
        <f t="shared" si="29"/>
        <v>Variant allowances allocation to totex categories</v>
      </c>
    </row>
    <row r="361" spans="2:55">
      <c r="D361">
        <f t="shared" si="23"/>
        <v>1</v>
      </c>
      <c r="E361" s="212" t="str">
        <f t="shared" si="24"/>
        <v>Baseline Network Risk Output</v>
      </c>
      <c r="G361" s="43" t="str">
        <f t="shared" si="25"/>
        <v>£m 23/24 prices</v>
      </c>
      <c r="H361" s="43" t="str">
        <f t="shared" si="26"/>
        <v>Non-operational capex</v>
      </c>
      <c r="AU361" s="143">
        <f t="shared" si="27"/>
        <v>0</v>
      </c>
      <c r="AV361" s="54">
        <f t="shared" si="27"/>
        <v>0</v>
      </c>
      <c r="AW361" s="54">
        <f t="shared" si="27"/>
        <v>0</v>
      </c>
      <c r="AX361" s="54">
        <f t="shared" si="27"/>
        <v>0</v>
      </c>
      <c r="AY361" s="185">
        <f t="shared" si="27"/>
        <v>0</v>
      </c>
      <c r="AZ361"/>
      <c r="BA361" s="44" t="str">
        <f t="shared" ca="1" si="30"/>
        <v>VariantAllowances</v>
      </c>
      <c r="BB361" s="44" t="str">
        <f t="shared" si="28"/>
        <v>TO variant allowances</v>
      </c>
      <c r="BC361" s="44" t="str">
        <f t="shared" si="29"/>
        <v>Variant allowances allocation to totex categories</v>
      </c>
    </row>
    <row r="362" spans="2:55">
      <c r="D362">
        <f t="shared" si="23"/>
        <v>1</v>
      </c>
      <c r="E362" s="212" t="str">
        <f t="shared" si="24"/>
        <v>Baseline Network Risk Output</v>
      </c>
      <c r="G362" s="43" t="str">
        <f t="shared" si="25"/>
        <v>£m 23/24 prices</v>
      </c>
      <c r="H362" s="43" t="str">
        <f t="shared" si="26"/>
        <v>Non-load (opex)</v>
      </c>
      <c r="AU362" s="143">
        <f t="shared" si="27"/>
        <v>0</v>
      </c>
      <c r="AV362" s="54">
        <f t="shared" si="27"/>
        <v>0</v>
      </c>
      <c r="AW362" s="54">
        <f t="shared" si="27"/>
        <v>0</v>
      </c>
      <c r="AX362" s="54">
        <f t="shared" si="27"/>
        <v>0</v>
      </c>
      <c r="AY362" s="185">
        <f t="shared" si="27"/>
        <v>0</v>
      </c>
      <c r="AZ362"/>
      <c r="BA362" s="44" t="str">
        <f t="shared" ca="1" si="30"/>
        <v>VariantAllowances</v>
      </c>
      <c r="BB362" s="44" t="str">
        <f t="shared" si="28"/>
        <v>TO variant allowances</v>
      </c>
      <c r="BC362" s="44" t="str">
        <f t="shared" si="29"/>
        <v>Variant allowances allocation to totex categories</v>
      </c>
    </row>
    <row r="363" spans="2:55">
      <c r="D363">
        <f t="shared" si="23"/>
        <v>1</v>
      </c>
      <c r="E363" s="201" t="str">
        <f t="shared" si="24"/>
        <v>Baseline Network Risk Output</v>
      </c>
      <c r="F363" s="225"/>
      <c r="G363" s="202" t="str">
        <f t="shared" si="25"/>
        <v>£m 23/24 prices</v>
      </c>
      <c r="H363" s="202" t="str">
        <f t="shared" si="26"/>
        <v>Indirects (opex)</v>
      </c>
      <c r="I363" s="202"/>
      <c r="J363" s="202"/>
      <c r="K363" s="202"/>
      <c r="L363" s="202"/>
      <c r="M363" s="202"/>
      <c r="N363" s="202"/>
      <c r="O363" s="202"/>
      <c r="P363" s="202"/>
      <c r="Q363" s="202"/>
      <c r="R363" s="202"/>
      <c r="S363" s="202"/>
      <c r="T363" s="202"/>
      <c r="U363" s="202"/>
      <c r="V363" s="202"/>
      <c r="W363" s="202"/>
      <c r="X363" s="202"/>
      <c r="Y363" s="202"/>
      <c r="Z363" s="202"/>
      <c r="AA363" s="202"/>
      <c r="AB363" s="202"/>
      <c r="AC363" s="202"/>
      <c r="AD363" s="202"/>
      <c r="AE363" s="202"/>
      <c r="AF363" s="202"/>
      <c r="AG363" s="202"/>
      <c r="AH363" s="202"/>
      <c r="AI363" s="202"/>
      <c r="AJ363" s="202"/>
      <c r="AK363" s="202"/>
      <c r="AL363" s="202"/>
      <c r="AM363" s="202"/>
      <c r="AN363" s="202"/>
      <c r="AO363" s="202"/>
      <c r="AP363" s="202"/>
      <c r="AQ363" s="202"/>
      <c r="AR363" s="202"/>
      <c r="AS363" s="202"/>
      <c r="AT363" s="203"/>
      <c r="AU363" s="232">
        <f t="shared" si="27"/>
        <v>0</v>
      </c>
      <c r="AV363" s="233">
        <f t="shared" si="27"/>
        <v>0</v>
      </c>
      <c r="AW363" s="233">
        <f t="shared" si="27"/>
        <v>0</v>
      </c>
      <c r="AX363" s="233">
        <f t="shared" si="27"/>
        <v>0</v>
      </c>
      <c r="AY363" s="234">
        <f t="shared" si="27"/>
        <v>0</v>
      </c>
      <c r="AZ363"/>
      <c r="BA363" s="44" t="str">
        <f t="shared" ca="1" si="30"/>
        <v>VariantAllowances</v>
      </c>
      <c r="BB363" s="44" t="str">
        <f t="shared" si="28"/>
        <v>TO variant allowances</v>
      </c>
      <c r="BC363" s="44" t="str">
        <f t="shared" si="29"/>
        <v>Variant allowances allocation to totex categories</v>
      </c>
    </row>
    <row r="364" spans="2:55">
      <c r="D364">
        <f t="shared" si="23"/>
        <v>2.5</v>
      </c>
      <c r="E364" s="195" t="str">
        <f t="shared" si="24"/>
        <v>NARM Asset Health Re-opener</v>
      </c>
      <c r="F364" s="221"/>
      <c r="G364" s="196" t="str">
        <f t="shared" si="25"/>
        <v>£m 23/24 prices</v>
      </c>
      <c r="H364" s="196" t="str">
        <f t="shared" si="26"/>
        <v>Load related capex</v>
      </c>
      <c r="I364" s="196"/>
      <c r="J364" s="196"/>
      <c r="K364" s="196"/>
      <c r="L364" s="196"/>
      <c r="M364" s="196"/>
      <c r="N364" s="196"/>
      <c r="O364" s="196"/>
      <c r="P364" s="196"/>
      <c r="Q364" s="196"/>
      <c r="R364" s="196"/>
      <c r="S364" s="196"/>
      <c r="T364" s="196"/>
      <c r="U364" s="196"/>
      <c r="V364" s="196"/>
      <c r="W364" s="196"/>
      <c r="X364" s="196"/>
      <c r="Y364" s="196"/>
      <c r="Z364" s="196"/>
      <c r="AA364" s="196"/>
      <c r="AB364" s="196"/>
      <c r="AC364" s="196"/>
      <c r="AD364" s="196"/>
      <c r="AE364" s="196"/>
      <c r="AF364" s="196"/>
      <c r="AG364" s="196"/>
      <c r="AH364" s="196"/>
      <c r="AI364" s="196"/>
      <c r="AJ364" s="196"/>
      <c r="AK364" s="196"/>
      <c r="AL364" s="196"/>
      <c r="AM364" s="196"/>
      <c r="AN364" s="196"/>
      <c r="AO364" s="196"/>
      <c r="AP364" s="196"/>
      <c r="AQ364" s="196"/>
      <c r="AR364" s="196"/>
      <c r="AS364" s="196"/>
      <c r="AT364" s="197"/>
      <c r="AU364" s="229">
        <f t="shared" si="27"/>
        <v>0</v>
      </c>
      <c r="AV364" s="230">
        <f t="shared" si="27"/>
        <v>0</v>
      </c>
      <c r="AW364" s="230">
        <f t="shared" si="27"/>
        <v>0</v>
      </c>
      <c r="AX364" s="230">
        <f t="shared" si="27"/>
        <v>0</v>
      </c>
      <c r="AY364" s="231">
        <f t="shared" si="27"/>
        <v>0</v>
      </c>
      <c r="AZ364"/>
      <c r="BA364" s="44" t="str">
        <f t="shared" ca="1" si="30"/>
        <v>VariantAllowances</v>
      </c>
      <c r="BB364" s="44" t="str">
        <f t="shared" si="28"/>
        <v>TO variant allowances</v>
      </c>
      <c r="BC364" s="44" t="str">
        <f t="shared" si="29"/>
        <v>Variant allowances allocation to totex categories</v>
      </c>
    </row>
    <row r="365" spans="2:55">
      <c r="D365">
        <f t="shared" si="23"/>
        <v>2.5</v>
      </c>
      <c r="E365" s="212" t="str">
        <f t="shared" si="24"/>
        <v>NARM Asset Health Re-opener</v>
      </c>
      <c r="G365" s="43" t="str">
        <f t="shared" si="25"/>
        <v>£m 23/24 prices</v>
      </c>
      <c r="H365" s="43" t="str">
        <f t="shared" si="26"/>
        <v>Asset replacement capex</v>
      </c>
      <c r="AU365" s="143">
        <f t="shared" si="27"/>
        <v>0</v>
      </c>
      <c r="AV365" s="54">
        <f t="shared" si="27"/>
        <v>0</v>
      </c>
      <c r="AW365" s="54">
        <f t="shared" si="27"/>
        <v>0</v>
      </c>
      <c r="AX365" s="54">
        <f t="shared" si="27"/>
        <v>0</v>
      </c>
      <c r="AY365" s="185">
        <f t="shared" si="27"/>
        <v>0</v>
      </c>
      <c r="AZ365"/>
      <c r="BA365" s="44" t="str">
        <f t="shared" ca="1" si="30"/>
        <v>VariantAllowances</v>
      </c>
      <c r="BB365" s="44" t="str">
        <f t="shared" si="28"/>
        <v>TO variant allowances</v>
      </c>
      <c r="BC365" s="44" t="str">
        <f t="shared" si="29"/>
        <v>Variant allowances allocation to totex categories</v>
      </c>
    </row>
    <row r="366" spans="2:55">
      <c r="D366">
        <f t="shared" si="23"/>
        <v>2.5</v>
      </c>
      <c r="E366" s="212" t="str">
        <f t="shared" si="24"/>
        <v>NARM Asset Health Re-opener</v>
      </c>
      <c r="G366" s="43" t="str">
        <f t="shared" si="25"/>
        <v>£m 23/24 prices</v>
      </c>
      <c r="H366" s="43" t="str">
        <f t="shared" si="26"/>
        <v>Other capex</v>
      </c>
      <c r="AU366" s="143">
        <f t="shared" si="27"/>
        <v>0</v>
      </c>
      <c r="AV366" s="54">
        <f t="shared" si="27"/>
        <v>0</v>
      </c>
      <c r="AW366" s="54">
        <f t="shared" si="27"/>
        <v>0</v>
      </c>
      <c r="AX366" s="54">
        <f t="shared" si="27"/>
        <v>0</v>
      </c>
      <c r="AY366" s="185">
        <f t="shared" si="27"/>
        <v>0</v>
      </c>
      <c r="AZ366"/>
      <c r="BA366" s="44" t="str">
        <f t="shared" ca="1" si="30"/>
        <v>VariantAllowances</v>
      </c>
      <c r="BB366" s="44" t="str">
        <f t="shared" si="28"/>
        <v>TO variant allowances</v>
      </c>
      <c r="BC366" s="44" t="str">
        <f t="shared" si="29"/>
        <v>Variant allowances allocation to totex categories</v>
      </c>
    </row>
    <row r="367" spans="2:55">
      <c r="D367">
        <f t="shared" si="23"/>
        <v>2.5</v>
      </c>
      <c r="E367" s="212" t="str">
        <f t="shared" si="24"/>
        <v>NARM Asset Health Re-opener</v>
      </c>
      <c r="G367" s="43" t="str">
        <f t="shared" si="25"/>
        <v>£m 23/24 prices</v>
      </c>
      <c r="H367" s="43" t="str">
        <f t="shared" si="26"/>
        <v>Non-operational capex</v>
      </c>
      <c r="AU367" s="143">
        <f t="shared" si="27"/>
        <v>0</v>
      </c>
      <c r="AV367" s="54">
        <f t="shared" si="27"/>
        <v>0</v>
      </c>
      <c r="AW367" s="54">
        <f t="shared" si="27"/>
        <v>0</v>
      </c>
      <c r="AX367" s="54">
        <f t="shared" si="27"/>
        <v>0</v>
      </c>
      <c r="AY367" s="185">
        <f t="shared" si="27"/>
        <v>0</v>
      </c>
      <c r="AZ367"/>
      <c r="BA367" s="44" t="str">
        <f t="shared" ca="1" si="30"/>
        <v>VariantAllowances</v>
      </c>
      <c r="BB367" s="44" t="str">
        <f t="shared" si="28"/>
        <v>TO variant allowances</v>
      </c>
      <c r="BC367" s="44" t="str">
        <f t="shared" si="29"/>
        <v>Variant allowances allocation to totex categories</v>
      </c>
    </row>
    <row r="368" spans="2:55">
      <c r="D368">
        <f t="shared" si="23"/>
        <v>2.5</v>
      </c>
      <c r="E368" s="212" t="str">
        <f t="shared" si="24"/>
        <v>NARM Asset Health Re-opener</v>
      </c>
      <c r="G368" s="43" t="str">
        <f t="shared" si="25"/>
        <v>£m 23/24 prices</v>
      </c>
      <c r="H368" s="43" t="str">
        <f t="shared" si="26"/>
        <v>Non-load (opex)</v>
      </c>
      <c r="AU368" s="143">
        <f t="shared" ref="AU368:AY377" si="31">INDEX(AU$8:AU$50,MATCH($E368,$E$8:$E$50,0))*AU108</f>
        <v>0</v>
      </c>
      <c r="AV368" s="54">
        <f t="shared" si="31"/>
        <v>0</v>
      </c>
      <c r="AW368" s="54">
        <f t="shared" si="31"/>
        <v>0</v>
      </c>
      <c r="AX368" s="54">
        <f t="shared" si="31"/>
        <v>0</v>
      </c>
      <c r="AY368" s="185">
        <f t="shared" si="31"/>
        <v>0</v>
      </c>
      <c r="AZ368"/>
      <c r="BA368" s="44" t="str">
        <f t="shared" ca="1" si="30"/>
        <v>VariantAllowances</v>
      </c>
      <c r="BB368" s="44" t="str">
        <f t="shared" si="28"/>
        <v>TO variant allowances</v>
      </c>
      <c r="BC368" s="44" t="str">
        <f t="shared" si="29"/>
        <v>Variant allowances allocation to totex categories</v>
      </c>
    </row>
    <row r="369" spans="4:55">
      <c r="D369">
        <f t="shared" si="23"/>
        <v>2.5</v>
      </c>
      <c r="E369" s="201" t="str">
        <f t="shared" si="24"/>
        <v>NARM Asset Health Re-opener</v>
      </c>
      <c r="F369" s="225"/>
      <c r="G369" s="202" t="str">
        <f t="shared" si="25"/>
        <v>£m 23/24 prices</v>
      </c>
      <c r="H369" s="202" t="str">
        <f t="shared" si="26"/>
        <v>Indirects (opex)</v>
      </c>
      <c r="I369" s="202"/>
      <c r="J369" s="202"/>
      <c r="K369" s="202"/>
      <c r="L369" s="202"/>
      <c r="M369" s="202"/>
      <c r="N369" s="202"/>
      <c r="O369" s="202"/>
      <c r="P369" s="202"/>
      <c r="Q369" s="202"/>
      <c r="R369" s="202"/>
      <c r="S369" s="202"/>
      <c r="T369" s="202"/>
      <c r="U369" s="202"/>
      <c r="V369" s="202"/>
      <c r="W369" s="202"/>
      <c r="X369" s="202"/>
      <c r="Y369" s="202"/>
      <c r="Z369" s="202"/>
      <c r="AA369" s="202"/>
      <c r="AB369" s="202"/>
      <c r="AC369" s="202"/>
      <c r="AD369" s="202"/>
      <c r="AE369" s="202"/>
      <c r="AF369" s="202"/>
      <c r="AG369" s="202"/>
      <c r="AH369" s="202"/>
      <c r="AI369" s="202"/>
      <c r="AJ369" s="202"/>
      <c r="AK369" s="202"/>
      <c r="AL369" s="202"/>
      <c r="AM369" s="202"/>
      <c r="AN369" s="202"/>
      <c r="AO369" s="202"/>
      <c r="AP369" s="202"/>
      <c r="AQ369" s="202"/>
      <c r="AR369" s="202"/>
      <c r="AS369" s="202"/>
      <c r="AT369" s="203"/>
      <c r="AU369" s="232">
        <f t="shared" si="31"/>
        <v>0</v>
      </c>
      <c r="AV369" s="233">
        <f t="shared" si="31"/>
        <v>0</v>
      </c>
      <c r="AW369" s="233">
        <f t="shared" si="31"/>
        <v>0</v>
      </c>
      <c r="AX369" s="233">
        <f t="shared" si="31"/>
        <v>0</v>
      </c>
      <c r="AY369" s="234">
        <f t="shared" si="31"/>
        <v>0</v>
      </c>
      <c r="AZ369"/>
      <c r="BA369" s="44" t="str">
        <f t="shared" ca="1" si="30"/>
        <v>VariantAllowances</v>
      </c>
      <c r="BB369" s="44" t="str">
        <f t="shared" si="28"/>
        <v>TO variant allowances</v>
      </c>
      <c r="BC369" s="44" t="str">
        <f t="shared" si="29"/>
        <v>Variant allowances allocation to totex categories</v>
      </c>
    </row>
    <row r="370" spans="4:55">
      <c r="D370">
        <f t="shared" si="23"/>
        <v>1</v>
      </c>
      <c r="E370" s="195" t="str">
        <f t="shared" si="24"/>
        <v>Cyber resilience term Price Control Deliverable</v>
      </c>
      <c r="F370" s="221"/>
      <c r="G370" s="196" t="str">
        <f t="shared" si="25"/>
        <v>£m 23/24 prices</v>
      </c>
      <c r="H370" s="196" t="str">
        <f t="shared" si="26"/>
        <v>Load related capex</v>
      </c>
      <c r="I370" s="196"/>
      <c r="J370" s="196"/>
      <c r="K370" s="196"/>
      <c r="L370" s="196"/>
      <c r="M370" s="196"/>
      <c r="N370" s="196"/>
      <c r="O370" s="196"/>
      <c r="P370" s="196"/>
      <c r="Q370" s="196"/>
      <c r="R370" s="196"/>
      <c r="S370" s="196"/>
      <c r="T370" s="196"/>
      <c r="U370" s="196"/>
      <c r="V370" s="196"/>
      <c r="W370" s="196"/>
      <c r="X370" s="196"/>
      <c r="Y370" s="196"/>
      <c r="Z370" s="196"/>
      <c r="AA370" s="196"/>
      <c r="AB370" s="196"/>
      <c r="AC370" s="196"/>
      <c r="AD370" s="196"/>
      <c r="AE370" s="196"/>
      <c r="AF370" s="196"/>
      <c r="AG370" s="196"/>
      <c r="AH370" s="196"/>
      <c r="AI370" s="196"/>
      <c r="AJ370" s="196"/>
      <c r="AK370" s="196"/>
      <c r="AL370" s="196"/>
      <c r="AM370" s="196"/>
      <c r="AN370" s="196"/>
      <c r="AO370" s="196"/>
      <c r="AP370" s="196"/>
      <c r="AQ370" s="196"/>
      <c r="AR370" s="196"/>
      <c r="AS370" s="196"/>
      <c r="AT370" s="197"/>
      <c r="AU370" s="229">
        <f t="shared" si="31"/>
        <v>0</v>
      </c>
      <c r="AV370" s="230">
        <f t="shared" si="31"/>
        <v>0</v>
      </c>
      <c r="AW370" s="230">
        <f t="shared" si="31"/>
        <v>0</v>
      </c>
      <c r="AX370" s="230">
        <f t="shared" si="31"/>
        <v>0</v>
      </c>
      <c r="AY370" s="231">
        <f t="shared" si="31"/>
        <v>0</v>
      </c>
      <c r="AZ370"/>
      <c r="BA370" s="44" t="str">
        <f t="shared" ca="1" si="30"/>
        <v>VariantAllowances</v>
      </c>
      <c r="BB370" s="44" t="str">
        <f t="shared" si="28"/>
        <v>TO variant allowances</v>
      </c>
      <c r="BC370" s="44" t="str">
        <f t="shared" si="29"/>
        <v>Variant allowances allocation to totex categories</v>
      </c>
    </row>
    <row r="371" spans="4:55">
      <c r="D371">
        <f t="shared" si="23"/>
        <v>1</v>
      </c>
      <c r="E371" s="212" t="str">
        <f t="shared" si="24"/>
        <v>Cyber resilience term Price Control Deliverable</v>
      </c>
      <c r="G371" s="43" t="str">
        <f t="shared" si="25"/>
        <v>£m 23/24 prices</v>
      </c>
      <c r="H371" s="43" t="str">
        <f t="shared" si="26"/>
        <v>Asset replacement capex</v>
      </c>
      <c r="AU371" s="143">
        <f t="shared" si="31"/>
        <v>0</v>
      </c>
      <c r="AV371" s="54">
        <f t="shared" si="31"/>
        <v>0</v>
      </c>
      <c r="AW371" s="54">
        <f t="shared" si="31"/>
        <v>0</v>
      </c>
      <c r="AX371" s="54">
        <f t="shared" si="31"/>
        <v>0</v>
      </c>
      <c r="AY371" s="185">
        <f t="shared" si="31"/>
        <v>0</v>
      </c>
      <c r="AZ371"/>
      <c r="BA371" s="44" t="str">
        <f t="shared" ca="1" si="30"/>
        <v>VariantAllowances</v>
      </c>
      <c r="BB371" s="44" t="str">
        <f t="shared" si="28"/>
        <v>TO variant allowances</v>
      </c>
      <c r="BC371" s="44" t="str">
        <f t="shared" si="29"/>
        <v>Variant allowances allocation to totex categories</v>
      </c>
    </row>
    <row r="372" spans="4:55">
      <c r="D372">
        <f t="shared" si="23"/>
        <v>1</v>
      </c>
      <c r="E372" s="212" t="str">
        <f t="shared" si="24"/>
        <v>Cyber resilience term Price Control Deliverable</v>
      </c>
      <c r="G372" s="43" t="str">
        <f t="shared" si="25"/>
        <v>£m 23/24 prices</v>
      </c>
      <c r="H372" s="43" t="str">
        <f t="shared" si="26"/>
        <v>Other capex</v>
      </c>
      <c r="AU372" s="143">
        <f t="shared" si="31"/>
        <v>32.738284879717988</v>
      </c>
      <c r="AV372" s="54">
        <f t="shared" si="31"/>
        <v>34.321558792013441</v>
      </c>
      <c r="AW372" s="54">
        <f t="shared" si="31"/>
        <v>32.363077679601005</v>
      </c>
      <c r="AX372" s="54">
        <f t="shared" si="31"/>
        <v>27.281142964832142</v>
      </c>
      <c r="AY372" s="185">
        <f t="shared" si="31"/>
        <v>25.149051072221187</v>
      </c>
      <c r="AZ372"/>
      <c r="BA372" s="44" t="str">
        <f t="shared" ca="1" si="30"/>
        <v>VariantAllowances</v>
      </c>
      <c r="BB372" s="44" t="str">
        <f t="shared" si="28"/>
        <v>TO variant allowances</v>
      </c>
      <c r="BC372" s="44" t="str">
        <f t="shared" si="29"/>
        <v>Variant allowances allocation to totex categories</v>
      </c>
    </row>
    <row r="373" spans="4:55">
      <c r="D373">
        <f t="shared" si="23"/>
        <v>1</v>
      </c>
      <c r="E373" s="212" t="str">
        <f t="shared" si="24"/>
        <v>Cyber resilience term Price Control Deliverable</v>
      </c>
      <c r="G373" s="43" t="str">
        <f t="shared" si="25"/>
        <v>£m 23/24 prices</v>
      </c>
      <c r="H373" s="43" t="str">
        <f t="shared" si="26"/>
        <v>Non-operational capex</v>
      </c>
      <c r="AU373" s="143">
        <f t="shared" si="31"/>
        <v>0</v>
      </c>
      <c r="AV373" s="54">
        <f t="shared" si="31"/>
        <v>0</v>
      </c>
      <c r="AW373" s="54">
        <f t="shared" si="31"/>
        <v>0</v>
      </c>
      <c r="AX373" s="54">
        <f t="shared" si="31"/>
        <v>0</v>
      </c>
      <c r="AY373" s="185">
        <f t="shared" si="31"/>
        <v>0</v>
      </c>
      <c r="AZ373"/>
      <c r="BA373" s="44" t="str">
        <f t="shared" ca="1" si="30"/>
        <v>VariantAllowances</v>
      </c>
      <c r="BB373" s="44" t="str">
        <f t="shared" si="28"/>
        <v>TO variant allowances</v>
      </c>
      <c r="BC373" s="44" t="str">
        <f t="shared" si="29"/>
        <v>Variant allowances allocation to totex categories</v>
      </c>
    </row>
    <row r="374" spans="4:55">
      <c r="D374">
        <f t="shared" si="23"/>
        <v>1</v>
      </c>
      <c r="E374" s="212" t="str">
        <f t="shared" si="24"/>
        <v>Cyber resilience term Price Control Deliverable</v>
      </c>
      <c r="G374" s="43" t="str">
        <f t="shared" si="25"/>
        <v>£m 23/24 prices</v>
      </c>
      <c r="H374" s="43" t="str">
        <f t="shared" si="26"/>
        <v>Non-load (opex)</v>
      </c>
      <c r="AU374" s="143">
        <f t="shared" si="31"/>
        <v>0</v>
      </c>
      <c r="AV374" s="54">
        <f t="shared" si="31"/>
        <v>0</v>
      </c>
      <c r="AW374" s="54">
        <f t="shared" si="31"/>
        <v>0</v>
      </c>
      <c r="AX374" s="54">
        <f t="shared" si="31"/>
        <v>0</v>
      </c>
      <c r="AY374" s="185">
        <f t="shared" si="31"/>
        <v>0</v>
      </c>
      <c r="AZ374"/>
      <c r="BA374" s="44" t="str">
        <f t="shared" ca="1" si="30"/>
        <v>VariantAllowances</v>
      </c>
      <c r="BB374" s="44" t="str">
        <f t="shared" si="28"/>
        <v>TO variant allowances</v>
      </c>
      <c r="BC374" s="44" t="str">
        <f t="shared" si="29"/>
        <v>Variant allowances allocation to totex categories</v>
      </c>
    </row>
    <row r="375" spans="4:55">
      <c r="D375">
        <f t="shared" si="23"/>
        <v>1</v>
      </c>
      <c r="E375" s="201" t="str">
        <f t="shared" si="24"/>
        <v>Cyber resilience term Price Control Deliverable</v>
      </c>
      <c r="F375" s="225"/>
      <c r="G375" s="202" t="str">
        <f t="shared" si="25"/>
        <v>£m 23/24 prices</v>
      </c>
      <c r="H375" s="202" t="str">
        <f t="shared" si="26"/>
        <v>Indirects (opex)</v>
      </c>
      <c r="I375" s="202"/>
      <c r="J375" s="202"/>
      <c r="K375" s="202"/>
      <c r="L375" s="202"/>
      <c r="M375" s="202"/>
      <c r="N375" s="202"/>
      <c r="O375" s="202"/>
      <c r="P375" s="202"/>
      <c r="Q375" s="202"/>
      <c r="R375" s="202"/>
      <c r="S375" s="202"/>
      <c r="T375" s="202"/>
      <c r="U375" s="202"/>
      <c r="V375" s="202"/>
      <c r="W375" s="202"/>
      <c r="X375" s="202"/>
      <c r="Y375" s="202"/>
      <c r="Z375" s="202"/>
      <c r="AA375" s="202"/>
      <c r="AB375" s="202"/>
      <c r="AC375" s="202"/>
      <c r="AD375" s="202"/>
      <c r="AE375" s="202"/>
      <c r="AF375" s="202"/>
      <c r="AG375" s="202"/>
      <c r="AH375" s="202"/>
      <c r="AI375" s="202"/>
      <c r="AJ375" s="202"/>
      <c r="AK375" s="202"/>
      <c r="AL375" s="202"/>
      <c r="AM375" s="202"/>
      <c r="AN375" s="202"/>
      <c r="AO375" s="202"/>
      <c r="AP375" s="202"/>
      <c r="AQ375" s="202"/>
      <c r="AR375" s="202"/>
      <c r="AS375" s="202"/>
      <c r="AT375" s="203"/>
      <c r="AU375" s="232">
        <f t="shared" si="31"/>
        <v>24.928914454542987</v>
      </c>
      <c r="AV375" s="233">
        <f t="shared" si="31"/>
        <v>26.134515177449977</v>
      </c>
      <c r="AW375" s="233">
        <f t="shared" si="31"/>
        <v>24.643208950152331</v>
      </c>
      <c r="AX375" s="233">
        <f t="shared" si="31"/>
        <v>20.773515829895736</v>
      </c>
      <c r="AY375" s="234">
        <f t="shared" si="31"/>
        <v>19.150011831583011</v>
      </c>
      <c r="AZ375"/>
      <c r="BA375" s="44" t="str">
        <f t="shared" ca="1" si="30"/>
        <v>VariantAllowances</v>
      </c>
      <c r="BB375" s="44" t="str">
        <f t="shared" si="28"/>
        <v>TO variant allowances</v>
      </c>
      <c r="BC375" s="44" t="str">
        <f t="shared" si="29"/>
        <v>Variant allowances allocation to totex categories</v>
      </c>
    </row>
    <row r="376" spans="4:55">
      <c r="D376">
        <f t="shared" si="23"/>
        <v>2.5</v>
      </c>
      <c r="E376" s="195" t="str">
        <f t="shared" si="24"/>
        <v>Cyber resilience Re-Opener</v>
      </c>
      <c r="F376" s="221"/>
      <c r="G376" s="196" t="str">
        <f t="shared" si="25"/>
        <v>£m 23/24 prices</v>
      </c>
      <c r="H376" s="196" t="str">
        <f t="shared" si="26"/>
        <v>Load related capex</v>
      </c>
      <c r="I376" s="196"/>
      <c r="J376" s="196"/>
      <c r="K376" s="196"/>
      <c r="L376" s="196"/>
      <c r="M376" s="196"/>
      <c r="N376" s="196"/>
      <c r="O376" s="196"/>
      <c r="P376" s="196"/>
      <c r="Q376" s="196"/>
      <c r="R376" s="196"/>
      <c r="S376" s="196"/>
      <c r="T376" s="196"/>
      <c r="U376" s="196"/>
      <c r="V376" s="196"/>
      <c r="W376" s="196"/>
      <c r="X376" s="196"/>
      <c r="Y376" s="196"/>
      <c r="Z376" s="196"/>
      <c r="AA376" s="196"/>
      <c r="AB376" s="196"/>
      <c r="AC376" s="196"/>
      <c r="AD376" s="196"/>
      <c r="AE376" s="196"/>
      <c r="AF376" s="196"/>
      <c r="AG376" s="196"/>
      <c r="AH376" s="196"/>
      <c r="AI376" s="196"/>
      <c r="AJ376" s="196"/>
      <c r="AK376" s="196"/>
      <c r="AL376" s="196"/>
      <c r="AM376" s="196"/>
      <c r="AN376" s="196"/>
      <c r="AO376" s="196"/>
      <c r="AP376" s="196"/>
      <c r="AQ376" s="196"/>
      <c r="AR376" s="196"/>
      <c r="AS376" s="196"/>
      <c r="AT376" s="197"/>
      <c r="AU376" s="229">
        <f t="shared" si="31"/>
        <v>0</v>
      </c>
      <c r="AV376" s="230">
        <f t="shared" si="31"/>
        <v>0</v>
      </c>
      <c r="AW376" s="230">
        <f t="shared" si="31"/>
        <v>0</v>
      </c>
      <c r="AX376" s="230">
        <f t="shared" si="31"/>
        <v>0</v>
      </c>
      <c r="AY376" s="231">
        <f t="shared" si="31"/>
        <v>0</v>
      </c>
      <c r="AZ376"/>
      <c r="BA376" s="44" t="str">
        <f t="shared" ca="1" si="30"/>
        <v>VariantAllowances</v>
      </c>
      <c r="BB376" s="44" t="str">
        <f t="shared" si="28"/>
        <v>TO variant allowances</v>
      </c>
      <c r="BC376" s="44" t="str">
        <f t="shared" si="29"/>
        <v>Variant allowances allocation to totex categories</v>
      </c>
    </row>
    <row r="377" spans="4:55">
      <c r="D377">
        <f t="shared" si="23"/>
        <v>2.5</v>
      </c>
      <c r="E377" s="212" t="str">
        <f t="shared" si="24"/>
        <v>Cyber resilience Re-Opener</v>
      </c>
      <c r="G377" s="43" t="str">
        <f t="shared" si="25"/>
        <v>£m 23/24 prices</v>
      </c>
      <c r="H377" s="43" t="str">
        <f t="shared" si="26"/>
        <v>Asset replacement capex</v>
      </c>
      <c r="AU377" s="143">
        <f t="shared" si="31"/>
        <v>0</v>
      </c>
      <c r="AV377" s="54">
        <f t="shared" si="31"/>
        <v>0</v>
      </c>
      <c r="AW377" s="54">
        <f t="shared" si="31"/>
        <v>0</v>
      </c>
      <c r="AX377" s="54">
        <f t="shared" si="31"/>
        <v>0</v>
      </c>
      <c r="AY377" s="185">
        <f t="shared" si="31"/>
        <v>0</v>
      </c>
      <c r="AZ377"/>
      <c r="BA377" s="44" t="str">
        <f t="shared" ca="1" si="30"/>
        <v>VariantAllowances</v>
      </c>
      <c r="BB377" s="44" t="str">
        <f t="shared" si="28"/>
        <v>TO variant allowances</v>
      </c>
      <c r="BC377" s="44" t="str">
        <f t="shared" si="29"/>
        <v>Variant allowances allocation to totex categories</v>
      </c>
    </row>
    <row r="378" spans="4:55">
      <c r="D378">
        <f t="shared" si="23"/>
        <v>2.5</v>
      </c>
      <c r="E378" s="212" t="str">
        <f t="shared" si="24"/>
        <v>Cyber resilience Re-Opener</v>
      </c>
      <c r="G378" s="43" t="str">
        <f t="shared" si="25"/>
        <v>£m 23/24 prices</v>
      </c>
      <c r="H378" s="43" t="str">
        <f t="shared" si="26"/>
        <v>Other capex</v>
      </c>
      <c r="AU378" s="143">
        <f t="shared" ref="AU378:AY387" si="32">INDEX(AU$8:AU$50,MATCH($E378,$E$8:$E$50,0))*AU118</f>
        <v>0</v>
      </c>
      <c r="AV378" s="54">
        <f t="shared" si="32"/>
        <v>0</v>
      </c>
      <c r="AW378" s="54">
        <f t="shared" si="32"/>
        <v>0</v>
      </c>
      <c r="AX378" s="54">
        <f t="shared" si="32"/>
        <v>0</v>
      </c>
      <c r="AY378" s="185">
        <f t="shared" si="32"/>
        <v>0</v>
      </c>
      <c r="AZ378"/>
      <c r="BA378" s="44" t="str">
        <f t="shared" ca="1" si="30"/>
        <v>VariantAllowances</v>
      </c>
      <c r="BB378" s="44" t="str">
        <f t="shared" si="28"/>
        <v>TO variant allowances</v>
      </c>
      <c r="BC378" s="44" t="str">
        <f t="shared" si="29"/>
        <v>Variant allowances allocation to totex categories</v>
      </c>
    </row>
    <row r="379" spans="4:55">
      <c r="D379">
        <f t="shared" si="23"/>
        <v>2.5</v>
      </c>
      <c r="E379" s="212" t="str">
        <f t="shared" si="24"/>
        <v>Cyber resilience Re-Opener</v>
      </c>
      <c r="G379" s="43" t="str">
        <f t="shared" si="25"/>
        <v>£m 23/24 prices</v>
      </c>
      <c r="H379" s="43" t="str">
        <f t="shared" si="26"/>
        <v>Non-operational capex</v>
      </c>
      <c r="AU379" s="143">
        <f t="shared" si="32"/>
        <v>0</v>
      </c>
      <c r="AV379" s="54">
        <f t="shared" si="32"/>
        <v>0</v>
      </c>
      <c r="AW379" s="54">
        <f t="shared" si="32"/>
        <v>0</v>
      </c>
      <c r="AX379" s="54">
        <f t="shared" si="32"/>
        <v>0</v>
      </c>
      <c r="AY379" s="185">
        <f t="shared" si="32"/>
        <v>0</v>
      </c>
      <c r="AZ379"/>
      <c r="BA379" s="44" t="str">
        <f t="shared" ca="1" si="30"/>
        <v>VariantAllowances</v>
      </c>
      <c r="BB379" s="44" t="str">
        <f t="shared" si="28"/>
        <v>TO variant allowances</v>
      </c>
      <c r="BC379" s="44" t="str">
        <f t="shared" si="29"/>
        <v>Variant allowances allocation to totex categories</v>
      </c>
    </row>
    <row r="380" spans="4:55">
      <c r="D380">
        <f t="shared" si="23"/>
        <v>2.5</v>
      </c>
      <c r="E380" s="212" t="str">
        <f t="shared" si="24"/>
        <v>Cyber resilience Re-Opener</v>
      </c>
      <c r="G380" s="43" t="str">
        <f t="shared" si="25"/>
        <v>£m 23/24 prices</v>
      </c>
      <c r="H380" s="43" t="str">
        <f t="shared" si="26"/>
        <v>Non-load (opex)</v>
      </c>
      <c r="AU380" s="143">
        <f t="shared" si="32"/>
        <v>0</v>
      </c>
      <c r="AV380" s="54">
        <f t="shared" si="32"/>
        <v>0</v>
      </c>
      <c r="AW380" s="54">
        <f t="shared" si="32"/>
        <v>0</v>
      </c>
      <c r="AX380" s="54">
        <f t="shared" si="32"/>
        <v>0</v>
      </c>
      <c r="AY380" s="185">
        <f t="shared" si="32"/>
        <v>0</v>
      </c>
      <c r="AZ380"/>
      <c r="BA380" s="44" t="str">
        <f t="shared" ca="1" si="30"/>
        <v>VariantAllowances</v>
      </c>
      <c r="BB380" s="44" t="str">
        <f t="shared" si="28"/>
        <v>TO variant allowances</v>
      </c>
      <c r="BC380" s="44" t="str">
        <f t="shared" si="29"/>
        <v>Variant allowances allocation to totex categories</v>
      </c>
    </row>
    <row r="381" spans="4:55">
      <c r="D381">
        <f t="shared" si="23"/>
        <v>2.5</v>
      </c>
      <c r="E381" s="201" t="str">
        <f t="shared" si="24"/>
        <v>Cyber resilience Re-Opener</v>
      </c>
      <c r="F381" s="225"/>
      <c r="G381" s="202" t="str">
        <f t="shared" si="25"/>
        <v>£m 23/24 prices</v>
      </c>
      <c r="H381" s="202" t="str">
        <f t="shared" si="26"/>
        <v>Indirects (opex)</v>
      </c>
      <c r="I381" s="202"/>
      <c r="J381" s="202"/>
      <c r="K381" s="202"/>
      <c r="L381" s="202"/>
      <c r="M381" s="202"/>
      <c r="N381" s="202"/>
      <c r="O381" s="202"/>
      <c r="P381" s="202"/>
      <c r="Q381" s="202"/>
      <c r="R381" s="202"/>
      <c r="S381" s="202"/>
      <c r="T381" s="202"/>
      <c r="U381" s="202"/>
      <c r="V381" s="202"/>
      <c r="W381" s="202"/>
      <c r="X381" s="202"/>
      <c r="Y381" s="202"/>
      <c r="Z381" s="202"/>
      <c r="AA381" s="202"/>
      <c r="AB381" s="202"/>
      <c r="AC381" s="202"/>
      <c r="AD381" s="202"/>
      <c r="AE381" s="202"/>
      <c r="AF381" s="202"/>
      <c r="AG381" s="202"/>
      <c r="AH381" s="202"/>
      <c r="AI381" s="202"/>
      <c r="AJ381" s="202"/>
      <c r="AK381" s="202"/>
      <c r="AL381" s="202"/>
      <c r="AM381" s="202"/>
      <c r="AN381" s="202"/>
      <c r="AO381" s="202"/>
      <c r="AP381" s="202"/>
      <c r="AQ381" s="202"/>
      <c r="AR381" s="202"/>
      <c r="AS381" s="202"/>
      <c r="AT381" s="203"/>
      <c r="AU381" s="232">
        <f t="shared" si="32"/>
        <v>0</v>
      </c>
      <c r="AV381" s="233">
        <f t="shared" si="32"/>
        <v>0</v>
      </c>
      <c r="AW381" s="233">
        <f t="shared" si="32"/>
        <v>0</v>
      </c>
      <c r="AX381" s="233">
        <f t="shared" si="32"/>
        <v>0</v>
      </c>
      <c r="AY381" s="234">
        <f t="shared" si="32"/>
        <v>0</v>
      </c>
      <c r="AZ381"/>
      <c r="BA381" s="44" t="str">
        <f t="shared" ca="1" si="30"/>
        <v>VariantAllowances</v>
      </c>
      <c r="BB381" s="44" t="str">
        <f t="shared" si="28"/>
        <v>TO variant allowances</v>
      </c>
      <c r="BC381" s="44" t="str">
        <f t="shared" si="29"/>
        <v>Variant allowances allocation to totex categories</v>
      </c>
    </row>
    <row r="382" spans="4:55">
      <c r="D382">
        <f t="shared" si="23"/>
        <v>1.5</v>
      </c>
      <c r="E382" s="195" t="str">
        <f t="shared" si="24"/>
        <v>Cyber resilience Use it or lose it allowance</v>
      </c>
      <c r="F382" s="221"/>
      <c r="G382" s="196" t="str">
        <f t="shared" si="25"/>
        <v>£m 23/24 prices</v>
      </c>
      <c r="H382" s="196" t="str">
        <f t="shared" si="26"/>
        <v>Load related capex</v>
      </c>
      <c r="I382" s="196"/>
      <c r="J382" s="196"/>
      <c r="K382" s="196"/>
      <c r="L382" s="196"/>
      <c r="M382" s="196"/>
      <c r="N382" s="196"/>
      <c r="O382" s="196"/>
      <c r="P382" s="196"/>
      <c r="Q382" s="196"/>
      <c r="R382" s="196"/>
      <c r="S382" s="196"/>
      <c r="T382" s="196"/>
      <c r="U382" s="196"/>
      <c r="V382" s="196"/>
      <c r="W382" s="196"/>
      <c r="X382" s="196"/>
      <c r="Y382" s="196"/>
      <c r="Z382" s="196"/>
      <c r="AA382" s="196"/>
      <c r="AB382" s="196"/>
      <c r="AC382" s="196"/>
      <c r="AD382" s="196"/>
      <c r="AE382" s="196"/>
      <c r="AF382" s="196"/>
      <c r="AG382" s="196"/>
      <c r="AH382" s="196"/>
      <c r="AI382" s="196"/>
      <c r="AJ382" s="196"/>
      <c r="AK382" s="196"/>
      <c r="AL382" s="196"/>
      <c r="AM382" s="196"/>
      <c r="AN382" s="196"/>
      <c r="AO382" s="196"/>
      <c r="AP382" s="196"/>
      <c r="AQ382" s="196"/>
      <c r="AR382" s="196"/>
      <c r="AS382" s="196"/>
      <c r="AT382" s="197"/>
      <c r="AU382" s="229">
        <f t="shared" si="32"/>
        <v>0</v>
      </c>
      <c r="AV382" s="230">
        <f t="shared" si="32"/>
        <v>0</v>
      </c>
      <c r="AW382" s="230">
        <f t="shared" si="32"/>
        <v>0</v>
      </c>
      <c r="AX382" s="230">
        <f t="shared" si="32"/>
        <v>0</v>
      </c>
      <c r="AY382" s="231">
        <f t="shared" si="32"/>
        <v>0</v>
      </c>
      <c r="AZ382"/>
      <c r="BA382" s="44" t="str">
        <f t="shared" ca="1" si="30"/>
        <v>VariantAllowances</v>
      </c>
      <c r="BB382" s="44" t="str">
        <f t="shared" si="28"/>
        <v>TO variant allowances</v>
      </c>
      <c r="BC382" s="44" t="str">
        <f t="shared" si="29"/>
        <v>Variant allowances allocation to totex categories</v>
      </c>
    </row>
    <row r="383" spans="4:55">
      <c r="D383">
        <f t="shared" si="23"/>
        <v>1.5</v>
      </c>
      <c r="E383" s="212" t="str">
        <f t="shared" si="24"/>
        <v>Cyber resilience Use it or lose it allowance</v>
      </c>
      <c r="G383" s="43" t="str">
        <f t="shared" si="25"/>
        <v>£m 23/24 prices</v>
      </c>
      <c r="H383" s="43" t="str">
        <f t="shared" si="26"/>
        <v>Asset replacement capex</v>
      </c>
      <c r="AU383" s="143">
        <f t="shared" si="32"/>
        <v>0</v>
      </c>
      <c r="AV383" s="54">
        <f t="shared" si="32"/>
        <v>0</v>
      </c>
      <c r="AW383" s="54">
        <f t="shared" si="32"/>
        <v>0</v>
      </c>
      <c r="AX383" s="54">
        <f t="shared" si="32"/>
        <v>0</v>
      </c>
      <c r="AY383" s="185">
        <f t="shared" si="32"/>
        <v>0</v>
      </c>
      <c r="AZ383"/>
      <c r="BA383" s="44" t="str">
        <f t="shared" ca="1" si="30"/>
        <v>VariantAllowances</v>
      </c>
      <c r="BB383" s="44" t="str">
        <f t="shared" si="28"/>
        <v>TO variant allowances</v>
      </c>
      <c r="BC383" s="44" t="str">
        <f t="shared" si="29"/>
        <v>Variant allowances allocation to totex categories</v>
      </c>
    </row>
    <row r="384" spans="4:55">
      <c r="D384">
        <f t="shared" si="23"/>
        <v>1.5</v>
      </c>
      <c r="E384" s="212" t="str">
        <f t="shared" si="24"/>
        <v>Cyber resilience Use it or lose it allowance</v>
      </c>
      <c r="G384" s="43" t="str">
        <f t="shared" si="25"/>
        <v>£m 23/24 prices</v>
      </c>
      <c r="H384" s="43" t="str">
        <f t="shared" si="26"/>
        <v>Other capex</v>
      </c>
      <c r="AU384" s="143">
        <f t="shared" si="32"/>
        <v>2.8438247163370143</v>
      </c>
      <c r="AV384" s="54">
        <f t="shared" si="32"/>
        <v>3.0883554386846921</v>
      </c>
      <c r="AW384" s="54">
        <f t="shared" si="32"/>
        <v>4.1867213135877082</v>
      </c>
      <c r="AX384" s="54">
        <f t="shared" si="32"/>
        <v>0</v>
      </c>
      <c r="AY384" s="185">
        <f t="shared" si="32"/>
        <v>0</v>
      </c>
      <c r="AZ384"/>
      <c r="BA384" s="44" t="str">
        <f t="shared" ca="1" si="30"/>
        <v>VariantAllowances</v>
      </c>
      <c r="BB384" s="44" t="str">
        <f t="shared" si="28"/>
        <v>TO variant allowances</v>
      </c>
      <c r="BC384" s="44" t="str">
        <f t="shared" si="29"/>
        <v>Variant allowances allocation to totex categories</v>
      </c>
    </row>
    <row r="385" spans="4:55">
      <c r="D385">
        <f t="shared" si="23"/>
        <v>1.5</v>
      </c>
      <c r="E385" s="212" t="str">
        <f t="shared" si="24"/>
        <v>Cyber resilience Use it or lose it allowance</v>
      </c>
      <c r="G385" s="43" t="str">
        <f t="shared" si="25"/>
        <v>£m 23/24 prices</v>
      </c>
      <c r="H385" s="43" t="str">
        <f t="shared" si="26"/>
        <v>Non-operational capex</v>
      </c>
      <c r="AU385" s="143">
        <f t="shared" si="32"/>
        <v>0</v>
      </c>
      <c r="AV385" s="54">
        <f t="shared" si="32"/>
        <v>0</v>
      </c>
      <c r="AW385" s="54">
        <f t="shared" si="32"/>
        <v>0</v>
      </c>
      <c r="AX385" s="54">
        <f t="shared" si="32"/>
        <v>0</v>
      </c>
      <c r="AY385" s="185">
        <f t="shared" si="32"/>
        <v>0</v>
      </c>
      <c r="AZ385"/>
      <c r="BA385" s="44" t="str">
        <f t="shared" ca="1" si="30"/>
        <v>VariantAllowances</v>
      </c>
      <c r="BB385" s="44" t="str">
        <f t="shared" si="28"/>
        <v>TO variant allowances</v>
      </c>
      <c r="BC385" s="44" t="str">
        <f t="shared" si="29"/>
        <v>Variant allowances allocation to totex categories</v>
      </c>
    </row>
    <row r="386" spans="4:55">
      <c r="D386">
        <f t="shared" si="23"/>
        <v>1.5</v>
      </c>
      <c r="E386" s="212" t="str">
        <f t="shared" si="24"/>
        <v>Cyber resilience Use it or lose it allowance</v>
      </c>
      <c r="G386" s="43" t="str">
        <f t="shared" si="25"/>
        <v>£m 23/24 prices</v>
      </c>
      <c r="H386" s="43" t="str">
        <f t="shared" si="26"/>
        <v>Non-load (opex)</v>
      </c>
      <c r="AU386" s="143">
        <f t="shared" si="32"/>
        <v>0</v>
      </c>
      <c r="AV386" s="54">
        <f t="shared" si="32"/>
        <v>0</v>
      </c>
      <c r="AW386" s="54">
        <f t="shared" si="32"/>
        <v>0</v>
      </c>
      <c r="AX386" s="54">
        <f t="shared" si="32"/>
        <v>0</v>
      </c>
      <c r="AY386" s="185">
        <f t="shared" si="32"/>
        <v>0</v>
      </c>
      <c r="AZ386"/>
      <c r="BA386" s="44" t="str">
        <f t="shared" ca="1" si="30"/>
        <v>VariantAllowances</v>
      </c>
      <c r="BB386" s="44" t="str">
        <f t="shared" si="28"/>
        <v>TO variant allowances</v>
      </c>
      <c r="BC386" s="44" t="str">
        <f t="shared" si="29"/>
        <v>Variant allowances allocation to totex categories</v>
      </c>
    </row>
    <row r="387" spans="4:55">
      <c r="D387">
        <f t="shared" si="23"/>
        <v>1.5</v>
      </c>
      <c r="E387" s="201" t="str">
        <f t="shared" si="24"/>
        <v>Cyber resilience Use it or lose it allowance</v>
      </c>
      <c r="F387" s="225"/>
      <c r="G387" s="202" t="str">
        <f t="shared" si="25"/>
        <v>£m 23/24 prices</v>
      </c>
      <c r="H387" s="202" t="str">
        <f t="shared" si="26"/>
        <v>Indirects (opex)</v>
      </c>
      <c r="I387" s="202"/>
      <c r="J387" s="202"/>
      <c r="K387" s="202"/>
      <c r="L387" s="202"/>
      <c r="M387" s="202"/>
      <c r="N387" s="202"/>
      <c r="O387" s="202"/>
      <c r="P387" s="202"/>
      <c r="Q387" s="202"/>
      <c r="R387" s="202"/>
      <c r="S387" s="202"/>
      <c r="T387" s="202"/>
      <c r="U387" s="202"/>
      <c r="V387" s="202"/>
      <c r="W387" s="202"/>
      <c r="X387" s="202"/>
      <c r="Y387" s="202"/>
      <c r="Z387" s="202"/>
      <c r="AA387" s="202"/>
      <c r="AB387" s="202"/>
      <c r="AC387" s="202"/>
      <c r="AD387" s="202"/>
      <c r="AE387" s="202"/>
      <c r="AF387" s="202"/>
      <c r="AG387" s="202"/>
      <c r="AH387" s="202"/>
      <c r="AI387" s="202"/>
      <c r="AJ387" s="202"/>
      <c r="AK387" s="202"/>
      <c r="AL387" s="202"/>
      <c r="AM387" s="202"/>
      <c r="AN387" s="202"/>
      <c r="AO387" s="202"/>
      <c r="AP387" s="202"/>
      <c r="AQ387" s="202"/>
      <c r="AR387" s="202"/>
      <c r="AS387" s="202"/>
      <c r="AT387" s="203"/>
      <c r="AU387" s="232">
        <f t="shared" si="32"/>
        <v>2.1654605101564224</v>
      </c>
      <c r="AV387" s="233">
        <f t="shared" si="32"/>
        <v>2.3516610237541702</v>
      </c>
      <c r="AW387" s="233">
        <f t="shared" si="32"/>
        <v>3.1880233755342311</v>
      </c>
      <c r="AX387" s="233">
        <f t="shared" si="32"/>
        <v>0</v>
      </c>
      <c r="AY387" s="234">
        <f t="shared" si="32"/>
        <v>0</v>
      </c>
      <c r="AZ387"/>
      <c r="BA387" s="44" t="str">
        <f t="shared" ca="1" si="30"/>
        <v>VariantAllowances</v>
      </c>
      <c r="BB387" s="44" t="str">
        <f t="shared" si="28"/>
        <v>TO variant allowances</v>
      </c>
      <c r="BC387" s="44" t="str">
        <f t="shared" si="29"/>
        <v>Variant allowances allocation to totex categories</v>
      </c>
    </row>
    <row r="388" spans="4:55">
      <c r="D388">
        <f t="shared" si="23"/>
        <v>2.5</v>
      </c>
      <c r="E388" s="195" t="str">
        <f t="shared" si="24"/>
        <v>Resilience Activity Re-opener</v>
      </c>
      <c r="F388" s="221"/>
      <c r="G388" s="196" t="str">
        <f t="shared" si="25"/>
        <v>£m 23/24 prices</v>
      </c>
      <c r="H388" s="196" t="str">
        <f t="shared" si="26"/>
        <v>Load related capex</v>
      </c>
      <c r="I388" s="196"/>
      <c r="J388" s="196"/>
      <c r="K388" s="196"/>
      <c r="L388" s="196"/>
      <c r="M388" s="196"/>
      <c r="N388" s="196"/>
      <c r="O388" s="196"/>
      <c r="P388" s="196"/>
      <c r="Q388" s="196"/>
      <c r="R388" s="196"/>
      <c r="S388" s="196"/>
      <c r="T388" s="196"/>
      <c r="U388" s="196"/>
      <c r="V388" s="196"/>
      <c r="W388" s="196"/>
      <c r="X388" s="196"/>
      <c r="Y388" s="196"/>
      <c r="Z388" s="196"/>
      <c r="AA388" s="196"/>
      <c r="AB388" s="196"/>
      <c r="AC388" s="196"/>
      <c r="AD388" s="196"/>
      <c r="AE388" s="196"/>
      <c r="AF388" s="196"/>
      <c r="AG388" s="196"/>
      <c r="AH388" s="196"/>
      <c r="AI388" s="196"/>
      <c r="AJ388" s="196"/>
      <c r="AK388" s="196"/>
      <c r="AL388" s="196"/>
      <c r="AM388" s="196"/>
      <c r="AN388" s="196"/>
      <c r="AO388" s="196"/>
      <c r="AP388" s="196"/>
      <c r="AQ388" s="196"/>
      <c r="AR388" s="196"/>
      <c r="AS388" s="196"/>
      <c r="AT388" s="197"/>
      <c r="AU388" s="229">
        <f t="shared" ref="AU388:AY397" si="33">INDEX(AU$8:AU$50,MATCH($E388,$E$8:$E$50,0))*AU128</f>
        <v>0</v>
      </c>
      <c r="AV388" s="230">
        <f t="shared" si="33"/>
        <v>0</v>
      </c>
      <c r="AW388" s="230">
        <f t="shared" si="33"/>
        <v>0</v>
      </c>
      <c r="AX388" s="230">
        <f t="shared" si="33"/>
        <v>0</v>
      </c>
      <c r="AY388" s="231">
        <f t="shared" si="33"/>
        <v>0</v>
      </c>
      <c r="AZ388"/>
      <c r="BA388" s="44" t="str">
        <f t="shared" ca="1" si="30"/>
        <v>VariantAllowances</v>
      </c>
      <c r="BB388" s="44" t="str">
        <f t="shared" si="28"/>
        <v>TO variant allowances</v>
      </c>
      <c r="BC388" s="44" t="str">
        <f t="shared" si="29"/>
        <v>Variant allowances allocation to totex categories</v>
      </c>
    </row>
    <row r="389" spans="4:55">
      <c r="D389">
        <f t="shared" si="23"/>
        <v>2.5</v>
      </c>
      <c r="E389" s="212" t="str">
        <f t="shared" si="24"/>
        <v>Resilience Activity Re-opener</v>
      </c>
      <c r="G389" s="43" t="str">
        <f t="shared" si="25"/>
        <v>£m 23/24 prices</v>
      </c>
      <c r="H389" s="43" t="str">
        <f t="shared" si="26"/>
        <v>Asset replacement capex</v>
      </c>
      <c r="AU389" s="143">
        <f t="shared" si="33"/>
        <v>0</v>
      </c>
      <c r="AV389" s="54">
        <f t="shared" si="33"/>
        <v>1.9926644</v>
      </c>
      <c r="AW389" s="54">
        <f t="shared" si="33"/>
        <v>1.9926644</v>
      </c>
      <c r="AX389" s="54">
        <f t="shared" si="33"/>
        <v>2.9889965800000002</v>
      </c>
      <c r="AY389" s="185">
        <f t="shared" si="33"/>
        <v>2.9889965800000002</v>
      </c>
      <c r="AZ389"/>
      <c r="BA389" s="44" t="str">
        <f t="shared" ca="1" si="30"/>
        <v>VariantAllowances</v>
      </c>
      <c r="BB389" s="44" t="str">
        <f t="shared" si="28"/>
        <v>TO variant allowances</v>
      </c>
      <c r="BC389" s="44" t="str">
        <f t="shared" si="29"/>
        <v>Variant allowances allocation to totex categories</v>
      </c>
    </row>
    <row r="390" spans="4:55">
      <c r="D390">
        <f t="shared" si="23"/>
        <v>2.5</v>
      </c>
      <c r="E390" s="212" t="str">
        <f t="shared" si="24"/>
        <v>Resilience Activity Re-opener</v>
      </c>
      <c r="G390" s="43" t="str">
        <f t="shared" si="25"/>
        <v>£m 23/24 prices</v>
      </c>
      <c r="H390" s="43" t="str">
        <f t="shared" si="26"/>
        <v>Other capex</v>
      </c>
      <c r="AU390" s="143">
        <f t="shared" si="33"/>
        <v>0</v>
      </c>
      <c r="AV390" s="54">
        <f t="shared" si="33"/>
        <v>0</v>
      </c>
      <c r="AW390" s="54">
        <f t="shared" si="33"/>
        <v>0</v>
      </c>
      <c r="AX390" s="54">
        <f t="shared" si="33"/>
        <v>0</v>
      </c>
      <c r="AY390" s="185">
        <f t="shared" si="33"/>
        <v>0</v>
      </c>
      <c r="AZ390"/>
      <c r="BA390" s="44" t="str">
        <f t="shared" ca="1" si="30"/>
        <v>VariantAllowances</v>
      </c>
      <c r="BB390" s="44" t="str">
        <f t="shared" si="28"/>
        <v>TO variant allowances</v>
      </c>
      <c r="BC390" s="44" t="str">
        <f t="shared" si="29"/>
        <v>Variant allowances allocation to totex categories</v>
      </c>
    </row>
    <row r="391" spans="4:55">
      <c r="D391">
        <f t="shared" si="23"/>
        <v>2.5</v>
      </c>
      <c r="E391" s="212" t="str">
        <f t="shared" si="24"/>
        <v>Resilience Activity Re-opener</v>
      </c>
      <c r="G391" s="43" t="str">
        <f t="shared" si="25"/>
        <v>£m 23/24 prices</v>
      </c>
      <c r="H391" s="43" t="str">
        <f t="shared" si="26"/>
        <v>Non-operational capex</v>
      </c>
      <c r="AU391" s="143">
        <f t="shared" si="33"/>
        <v>0</v>
      </c>
      <c r="AV391" s="54">
        <f t="shared" si="33"/>
        <v>0</v>
      </c>
      <c r="AW391" s="54">
        <f t="shared" si="33"/>
        <v>0</v>
      </c>
      <c r="AX391" s="54">
        <f t="shared" si="33"/>
        <v>0</v>
      </c>
      <c r="AY391" s="185">
        <f t="shared" si="33"/>
        <v>0</v>
      </c>
      <c r="AZ391"/>
      <c r="BA391" s="44" t="str">
        <f t="shared" ca="1" si="30"/>
        <v>VariantAllowances</v>
      </c>
      <c r="BB391" s="44" t="str">
        <f t="shared" si="28"/>
        <v>TO variant allowances</v>
      </c>
      <c r="BC391" s="44" t="str">
        <f t="shared" si="29"/>
        <v>Variant allowances allocation to totex categories</v>
      </c>
    </row>
    <row r="392" spans="4:55">
      <c r="D392">
        <f t="shared" si="23"/>
        <v>2.5</v>
      </c>
      <c r="E392" s="212" t="str">
        <f t="shared" si="24"/>
        <v>Resilience Activity Re-opener</v>
      </c>
      <c r="G392" s="43" t="str">
        <f t="shared" si="25"/>
        <v>£m 23/24 prices</v>
      </c>
      <c r="H392" s="43" t="str">
        <f t="shared" si="26"/>
        <v>Non-load (opex)</v>
      </c>
      <c r="AU392" s="143">
        <f t="shared" si="33"/>
        <v>0</v>
      </c>
      <c r="AV392" s="54">
        <f t="shared" si="33"/>
        <v>0</v>
      </c>
      <c r="AW392" s="54">
        <f t="shared" si="33"/>
        <v>0</v>
      </c>
      <c r="AX392" s="54">
        <f t="shared" si="33"/>
        <v>0</v>
      </c>
      <c r="AY392" s="185">
        <f t="shared" si="33"/>
        <v>0</v>
      </c>
      <c r="AZ392"/>
      <c r="BA392" s="44" t="str">
        <f t="shared" ca="1" si="30"/>
        <v>VariantAllowances</v>
      </c>
      <c r="BB392" s="44" t="str">
        <f t="shared" si="28"/>
        <v>TO variant allowances</v>
      </c>
      <c r="BC392" s="44" t="str">
        <f t="shared" si="29"/>
        <v>Variant allowances allocation to totex categories</v>
      </c>
    </row>
    <row r="393" spans="4:55">
      <c r="D393">
        <f t="shared" si="23"/>
        <v>2.5</v>
      </c>
      <c r="E393" s="201" t="str">
        <f t="shared" si="24"/>
        <v>Resilience Activity Re-opener</v>
      </c>
      <c r="F393" s="225"/>
      <c r="G393" s="202" t="str">
        <f t="shared" si="25"/>
        <v>£m 23/24 prices</v>
      </c>
      <c r="H393" s="202" t="str">
        <f t="shared" si="26"/>
        <v>Indirects (opex)</v>
      </c>
      <c r="I393" s="202"/>
      <c r="J393" s="202"/>
      <c r="K393" s="202"/>
      <c r="L393" s="202"/>
      <c r="M393" s="202"/>
      <c r="N393" s="202"/>
      <c r="O393" s="202"/>
      <c r="P393" s="202"/>
      <c r="Q393" s="202"/>
      <c r="R393" s="202"/>
      <c r="S393" s="202"/>
      <c r="T393" s="202"/>
      <c r="U393" s="202"/>
      <c r="V393" s="202"/>
      <c r="W393" s="202"/>
      <c r="X393" s="202"/>
      <c r="Y393" s="202"/>
      <c r="Z393" s="202"/>
      <c r="AA393" s="202"/>
      <c r="AB393" s="202"/>
      <c r="AC393" s="202"/>
      <c r="AD393" s="202"/>
      <c r="AE393" s="202"/>
      <c r="AF393" s="202"/>
      <c r="AG393" s="202"/>
      <c r="AH393" s="202"/>
      <c r="AI393" s="202"/>
      <c r="AJ393" s="202"/>
      <c r="AK393" s="202"/>
      <c r="AL393" s="202"/>
      <c r="AM393" s="202"/>
      <c r="AN393" s="202"/>
      <c r="AO393" s="202"/>
      <c r="AP393" s="202"/>
      <c r="AQ393" s="202"/>
      <c r="AR393" s="202"/>
      <c r="AS393" s="202"/>
      <c r="AT393" s="203"/>
      <c r="AU393" s="232">
        <f t="shared" si="33"/>
        <v>0</v>
      </c>
      <c r="AV393" s="233">
        <f t="shared" si="33"/>
        <v>0</v>
      </c>
      <c r="AW393" s="233">
        <f t="shared" si="33"/>
        <v>0</v>
      </c>
      <c r="AX393" s="233">
        <f t="shared" si="33"/>
        <v>0</v>
      </c>
      <c r="AY393" s="234">
        <f t="shared" si="33"/>
        <v>0</v>
      </c>
      <c r="AZ393"/>
      <c r="BA393" s="44" t="str">
        <f t="shared" ca="1" si="30"/>
        <v>VariantAllowances</v>
      </c>
      <c r="BB393" s="44" t="str">
        <f t="shared" si="28"/>
        <v>TO variant allowances</v>
      </c>
      <c r="BC393" s="44" t="str">
        <f t="shared" si="29"/>
        <v>Variant allowances allocation to totex categories</v>
      </c>
    </row>
    <row r="394" spans="4:55">
      <c r="D394">
        <f t="shared" si="23"/>
        <v>1</v>
      </c>
      <c r="E394" s="195" t="str">
        <f t="shared" si="24"/>
        <v>Physical Security Price Control Deliverable</v>
      </c>
      <c r="F394" s="221"/>
      <c r="G394" s="196" t="str">
        <f t="shared" si="25"/>
        <v>£m 23/24 prices</v>
      </c>
      <c r="H394" s="196" t="str">
        <f t="shared" si="26"/>
        <v>Load related capex</v>
      </c>
      <c r="I394" s="196"/>
      <c r="J394" s="196"/>
      <c r="K394" s="196"/>
      <c r="L394" s="196"/>
      <c r="M394" s="196"/>
      <c r="N394" s="196"/>
      <c r="O394" s="196"/>
      <c r="P394" s="196"/>
      <c r="Q394" s="196"/>
      <c r="R394" s="196"/>
      <c r="S394" s="196"/>
      <c r="T394" s="196"/>
      <c r="U394" s="196"/>
      <c r="V394" s="196"/>
      <c r="W394" s="196"/>
      <c r="X394" s="196"/>
      <c r="Y394" s="196"/>
      <c r="Z394" s="196"/>
      <c r="AA394" s="196"/>
      <c r="AB394" s="196"/>
      <c r="AC394" s="196"/>
      <c r="AD394" s="196"/>
      <c r="AE394" s="196"/>
      <c r="AF394" s="196"/>
      <c r="AG394" s="196"/>
      <c r="AH394" s="196"/>
      <c r="AI394" s="196"/>
      <c r="AJ394" s="196"/>
      <c r="AK394" s="196"/>
      <c r="AL394" s="196"/>
      <c r="AM394" s="196"/>
      <c r="AN394" s="196"/>
      <c r="AO394" s="196"/>
      <c r="AP394" s="196"/>
      <c r="AQ394" s="196"/>
      <c r="AR394" s="196"/>
      <c r="AS394" s="196"/>
      <c r="AT394" s="197"/>
      <c r="AU394" s="229">
        <f t="shared" si="33"/>
        <v>0</v>
      </c>
      <c r="AV394" s="230">
        <f t="shared" si="33"/>
        <v>0</v>
      </c>
      <c r="AW394" s="230">
        <f t="shared" si="33"/>
        <v>0</v>
      </c>
      <c r="AX394" s="230">
        <f t="shared" si="33"/>
        <v>0</v>
      </c>
      <c r="AY394" s="231">
        <f t="shared" si="33"/>
        <v>0</v>
      </c>
      <c r="AZ394"/>
      <c r="BA394" s="44" t="str">
        <f t="shared" ca="1" si="30"/>
        <v>VariantAllowances</v>
      </c>
      <c r="BB394" s="44" t="str">
        <f t="shared" si="28"/>
        <v>TO variant allowances</v>
      </c>
      <c r="BC394" s="44" t="str">
        <f t="shared" si="29"/>
        <v>Variant allowances allocation to totex categories</v>
      </c>
    </row>
    <row r="395" spans="4:55">
      <c r="D395">
        <f t="shared" si="23"/>
        <v>1</v>
      </c>
      <c r="E395" s="212" t="str">
        <f t="shared" si="24"/>
        <v>Physical Security Price Control Deliverable</v>
      </c>
      <c r="G395" s="43" t="str">
        <f t="shared" si="25"/>
        <v>£m 23/24 prices</v>
      </c>
      <c r="H395" s="43" t="str">
        <f t="shared" si="26"/>
        <v>Asset replacement capex</v>
      </c>
      <c r="AU395" s="143">
        <f t="shared" si="33"/>
        <v>0</v>
      </c>
      <c r="AV395" s="54">
        <f t="shared" si="33"/>
        <v>0</v>
      </c>
      <c r="AW395" s="54">
        <f t="shared" si="33"/>
        <v>0</v>
      </c>
      <c r="AX395" s="54">
        <f t="shared" si="33"/>
        <v>0</v>
      </c>
      <c r="AY395" s="185">
        <f t="shared" si="33"/>
        <v>0</v>
      </c>
      <c r="AZ395"/>
      <c r="BA395" s="44" t="str">
        <f t="shared" ca="1" si="30"/>
        <v>VariantAllowances</v>
      </c>
      <c r="BB395" s="44" t="str">
        <f t="shared" si="28"/>
        <v>TO variant allowances</v>
      </c>
      <c r="BC395" s="44" t="str">
        <f t="shared" si="29"/>
        <v>Variant allowances allocation to totex categories</v>
      </c>
    </row>
    <row r="396" spans="4:55">
      <c r="D396">
        <f t="shared" si="23"/>
        <v>1</v>
      </c>
      <c r="E396" s="212" t="str">
        <f t="shared" si="24"/>
        <v>Physical Security Price Control Deliverable</v>
      </c>
      <c r="G396" s="43" t="str">
        <f t="shared" si="25"/>
        <v>£m 23/24 prices</v>
      </c>
      <c r="H396" s="43" t="str">
        <f t="shared" si="26"/>
        <v>Other capex</v>
      </c>
      <c r="AU396" s="143">
        <f t="shared" si="33"/>
        <v>29.81197787123649</v>
      </c>
      <c r="AV396" s="54">
        <f t="shared" si="33"/>
        <v>33.595003895043554</v>
      </c>
      <c r="AW396" s="54">
        <f t="shared" si="33"/>
        <v>25.697737476290424</v>
      </c>
      <c r="AX396" s="54">
        <f t="shared" si="33"/>
        <v>24.872034517836031</v>
      </c>
      <c r="AY396" s="185">
        <f t="shared" si="33"/>
        <v>21.16905570401115</v>
      </c>
      <c r="AZ396"/>
      <c r="BA396" s="44" t="str">
        <f t="shared" ca="1" si="30"/>
        <v>VariantAllowances</v>
      </c>
      <c r="BB396" s="44" t="str">
        <f t="shared" si="28"/>
        <v>TO variant allowances</v>
      </c>
      <c r="BC396" s="44" t="str">
        <f t="shared" si="29"/>
        <v>Variant allowances allocation to totex categories</v>
      </c>
    </row>
    <row r="397" spans="4:55">
      <c r="D397">
        <f t="shared" si="23"/>
        <v>1</v>
      </c>
      <c r="E397" s="212" t="str">
        <f t="shared" si="24"/>
        <v>Physical Security Price Control Deliverable</v>
      </c>
      <c r="G397" s="43" t="str">
        <f t="shared" si="25"/>
        <v>£m 23/24 prices</v>
      </c>
      <c r="H397" s="43" t="str">
        <f t="shared" si="26"/>
        <v>Non-operational capex</v>
      </c>
      <c r="AU397" s="143">
        <f t="shared" si="33"/>
        <v>0</v>
      </c>
      <c r="AV397" s="54">
        <f t="shared" si="33"/>
        <v>0</v>
      </c>
      <c r="AW397" s="54">
        <f t="shared" si="33"/>
        <v>0</v>
      </c>
      <c r="AX397" s="54">
        <f t="shared" si="33"/>
        <v>0</v>
      </c>
      <c r="AY397" s="185">
        <f t="shared" si="33"/>
        <v>0</v>
      </c>
      <c r="AZ397"/>
      <c r="BA397" s="44" t="str">
        <f t="shared" ca="1" si="30"/>
        <v>VariantAllowances</v>
      </c>
      <c r="BB397" s="44" t="str">
        <f t="shared" si="28"/>
        <v>TO variant allowances</v>
      </c>
      <c r="BC397" s="44" t="str">
        <f t="shared" si="29"/>
        <v>Variant allowances allocation to totex categories</v>
      </c>
    </row>
    <row r="398" spans="4:55">
      <c r="D398">
        <f t="shared" si="23"/>
        <v>1</v>
      </c>
      <c r="E398" s="212" t="str">
        <f t="shared" si="24"/>
        <v>Physical Security Price Control Deliverable</v>
      </c>
      <c r="G398" s="43" t="str">
        <f t="shared" si="25"/>
        <v>£m 23/24 prices</v>
      </c>
      <c r="H398" s="43" t="str">
        <f t="shared" si="26"/>
        <v>Non-load (opex)</v>
      </c>
      <c r="AU398" s="143">
        <f t="shared" ref="AU398:AY407" si="34">INDEX(AU$8:AU$50,MATCH($E398,$E$8:$E$50,0))*AU138</f>
        <v>0</v>
      </c>
      <c r="AV398" s="54">
        <f t="shared" si="34"/>
        <v>0</v>
      </c>
      <c r="AW398" s="54">
        <f t="shared" si="34"/>
        <v>0</v>
      </c>
      <c r="AX398" s="54">
        <f t="shared" si="34"/>
        <v>0</v>
      </c>
      <c r="AY398" s="185">
        <f t="shared" si="34"/>
        <v>0</v>
      </c>
      <c r="AZ398"/>
      <c r="BA398" s="44" t="str">
        <f t="shared" ca="1" si="30"/>
        <v>VariantAllowances</v>
      </c>
      <c r="BB398" s="44" t="str">
        <f t="shared" si="28"/>
        <v>TO variant allowances</v>
      </c>
      <c r="BC398" s="44" t="str">
        <f t="shared" si="29"/>
        <v>Variant allowances allocation to totex categories</v>
      </c>
    </row>
    <row r="399" spans="4:55">
      <c r="D399">
        <f t="shared" si="23"/>
        <v>1</v>
      </c>
      <c r="E399" s="201" t="str">
        <f t="shared" si="24"/>
        <v>Physical Security Price Control Deliverable</v>
      </c>
      <c r="F399" s="225"/>
      <c r="G399" s="202" t="str">
        <f t="shared" si="25"/>
        <v>£m 23/24 prices</v>
      </c>
      <c r="H399" s="202" t="str">
        <f t="shared" si="26"/>
        <v>Indirects (opex)</v>
      </c>
      <c r="I399" s="202"/>
      <c r="J399" s="202"/>
      <c r="K399" s="202"/>
      <c r="L399" s="202"/>
      <c r="M399" s="202"/>
      <c r="N399" s="202"/>
      <c r="O399" s="202"/>
      <c r="P399" s="202"/>
      <c r="Q399" s="202"/>
      <c r="R399" s="202"/>
      <c r="S399" s="202"/>
      <c r="T399" s="202"/>
      <c r="U399" s="202"/>
      <c r="V399" s="202"/>
      <c r="W399" s="202"/>
      <c r="X399" s="202"/>
      <c r="Y399" s="202"/>
      <c r="Z399" s="202"/>
      <c r="AA399" s="202"/>
      <c r="AB399" s="202"/>
      <c r="AC399" s="202"/>
      <c r="AD399" s="202"/>
      <c r="AE399" s="202"/>
      <c r="AF399" s="202"/>
      <c r="AG399" s="202"/>
      <c r="AH399" s="202"/>
      <c r="AI399" s="202"/>
      <c r="AJ399" s="202"/>
      <c r="AK399" s="202"/>
      <c r="AL399" s="202"/>
      <c r="AM399" s="202"/>
      <c r="AN399" s="202"/>
      <c r="AO399" s="202"/>
      <c r="AP399" s="202"/>
      <c r="AQ399" s="202"/>
      <c r="AR399" s="202"/>
      <c r="AS399" s="202"/>
      <c r="AT399" s="203"/>
      <c r="AU399" s="232">
        <f t="shared" si="34"/>
        <v>0</v>
      </c>
      <c r="AV399" s="233">
        <f t="shared" si="34"/>
        <v>0</v>
      </c>
      <c r="AW399" s="233">
        <f t="shared" si="34"/>
        <v>0</v>
      </c>
      <c r="AX399" s="233">
        <f t="shared" si="34"/>
        <v>0</v>
      </c>
      <c r="AY399" s="234">
        <f t="shared" si="34"/>
        <v>0</v>
      </c>
      <c r="AZ399"/>
      <c r="BA399" s="44" t="str">
        <f t="shared" ca="1" si="30"/>
        <v>VariantAllowances</v>
      </c>
      <c r="BB399" s="44" t="str">
        <f t="shared" si="28"/>
        <v>TO variant allowances</v>
      </c>
      <c r="BC399" s="44" t="str">
        <f t="shared" si="29"/>
        <v>Variant allowances allocation to totex categories</v>
      </c>
    </row>
    <row r="400" spans="4:55">
      <c r="D400">
        <f t="shared" si="23"/>
        <v>2.5</v>
      </c>
      <c r="E400" s="195" t="str">
        <f t="shared" si="24"/>
        <v>Physical Security Price Control Deliverable - Re-Opener Element</v>
      </c>
      <c r="F400" s="221"/>
      <c r="G400" s="196" t="str">
        <f t="shared" si="25"/>
        <v>£m 23/24 prices</v>
      </c>
      <c r="H400" s="196" t="str">
        <f t="shared" si="26"/>
        <v>Load related capex</v>
      </c>
      <c r="I400" s="196"/>
      <c r="J400" s="196"/>
      <c r="K400" s="196"/>
      <c r="L400" s="196"/>
      <c r="M400" s="196"/>
      <c r="N400" s="196"/>
      <c r="O400" s="196"/>
      <c r="P400" s="196"/>
      <c r="Q400" s="196"/>
      <c r="R400" s="196"/>
      <c r="S400" s="196"/>
      <c r="T400" s="196"/>
      <c r="U400" s="196"/>
      <c r="V400" s="196"/>
      <c r="W400" s="196"/>
      <c r="X400" s="196"/>
      <c r="Y400" s="196"/>
      <c r="Z400" s="196"/>
      <c r="AA400" s="196"/>
      <c r="AB400" s="196"/>
      <c r="AC400" s="196"/>
      <c r="AD400" s="196"/>
      <c r="AE400" s="196"/>
      <c r="AF400" s="196"/>
      <c r="AG400" s="196"/>
      <c r="AH400" s="196"/>
      <c r="AI400" s="196"/>
      <c r="AJ400" s="196"/>
      <c r="AK400" s="196"/>
      <c r="AL400" s="196"/>
      <c r="AM400" s="196"/>
      <c r="AN400" s="196"/>
      <c r="AO400" s="196"/>
      <c r="AP400" s="196"/>
      <c r="AQ400" s="196"/>
      <c r="AR400" s="196"/>
      <c r="AS400" s="196"/>
      <c r="AT400" s="197"/>
      <c r="AU400" s="229">
        <f t="shared" si="34"/>
        <v>0</v>
      </c>
      <c r="AV400" s="230">
        <f t="shared" si="34"/>
        <v>0</v>
      </c>
      <c r="AW400" s="230">
        <f t="shared" si="34"/>
        <v>0</v>
      </c>
      <c r="AX400" s="230">
        <f t="shared" si="34"/>
        <v>0</v>
      </c>
      <c r="AY400" s="231">
        <f t="shared" si="34"/>
        <v>0</v>
      </c>
      <c r="AZ400"/>
      <c r="BA400" s="44" t="str">
        <f t="shared" ca="1" si="30"/>
        <v>VariantAllowances</v>
      </c>
      <c r="BB400" s="44" t="str">
        <f t="shared" si="28"/>
        <v>TO variant allowances</v>
      </c>
      <c r="BC400" s="44" t="str">
        <f t="shared" si="29"/>
        <v>Variant allowances allocation to totex categories</v>
      </c>
    </row>
    <row r="401" spans="4:55">
      <c r="D401">
        <f t="shared" si="23"/>
        <v>2.5</v>
      </c>
      <c r="E401" s="212" t="str">
        <f t="shared" si="24"/>
        <v>Physical Security Price Control Deliverable - Re-Opener Element</v>
      </c>
      <c r="G401" s="43" t="str">
        <f t="shared" si="25"/>
        <v>£m 23/24 prices</v>
      </c>
      <c r="H401" s="43" t="str">
        <f t="shared" si="26"/>
        <v>Asset replacement capex</v>
      </c>
      <c r="AU401" s="143">
        <f t="shared" si="34"/>
        <v>0</v>
      </c>
      <c r="AV401" s="54">
        <f t="shared" si="34"/>
        <v>0</v>
      </c>
      <c r="AW401" s="54">
        <f t="shared" si="34"/>
        <v>0</v>
      </c>
      <c r="AX401" s="54">
        <f t="shared" si="34"/>
        <v>0</v>
      </c>
      <c r="AY401" s="185">
        <f t="shared" si="34"/>
        <v>0</v>
      </c>
      <c r="AZ401"/>
      <c r="BA401" s="44" t="str">
        <f t="shared" ca="1" si="30"/>
        <v>VariantAllowances</v>
      </c>
      <c r="BB401" s="44" t="str">
        <f t="shared" si="28"/>
        <v>TO variant allowances</v>
      </c>
      <c r="BC401" s="44" t="str">
        <f t="shared" si="29"/>
        <v>Variant allowances allocation to totex categories</v>
      </c>
    </row>
    <row r="402" spans="4:55">
      <c r="D402">
        <f t="shared" si="23"/>
        <v>2.5</v>
      </c>
      <c r="E402" s="212" t="str">
        <f t="shared" si="24"/>
        <v>Physical Security Price Control Deliverable - Re-Opener Element</v>
      </c>
      <c r="G402" s="43" t="str">
        <f t="shared" si="25"/>
        <v>£m 23/24 prices</v>
      </c>
      <c r="H402" s="43" t="str">
        <f t="shared" si="26"/>
        <v>Other capex</v>
      </c>
      <c r="AU402" s="143">
        <f t="shared" si="34"/>
        <v>0</v>
      </c>
      <c r="AV402" s="54">
        <f t="shared" si="34"/>
        <v>0</v>
      </c>
      <c r="AW402" s="54">
        <f t="shared" si="34"/>
        <v>0</v>
      </c>
      <c r="AX402" s="54">
        <f t="shared" si="34"/>
        <v>0</v>
      </c>
      <c r="AY402" s="185">
        <f t="shared" si="34"/>
        <v>0</v>
      </c>
      <c r="AZ402"/>
      <c r="BA402" s="44" t="str">
        <f t="shared" ca="1" si="30"/>
        <v>VariantAllowances</v>
      </c>
      <c r="BB402" s="44" t="str">
        <f t="shared" si="28"/>
        <v>TO variant allowances</v>
      </c>
      <c r="BC402" s="44" t="str">
        <f t="shared" si="29"/>
        <v>Variant allowances allocation to totex categories</v>
      </c>
    </row>
    <row r="403" spans="4:55">
      <c r="D403">
        <f t="shared" si="23"/>
        <v>2.5</v>
      </c>
      <c r="E403" s="212" t="str">
        <f t="shared" si="24"/>
        <v>Physical Security Price Control Deliverable - Re-Opener Element</v>
      </c>
      <c r="G403" s="43" t="str">
        <f t="shared" si="25"/>
        <v>£m 23/24 prices</v>
      </c>
      <c r="H403" s="43" t="str">
        <f t="shared" si="26"/>
        <v>Non-operational capex</v>
      </c>
      <c r="AU403" s="143">
        <f t="shared" si="34"/>
        <v>0</v>
      </c>
      <c r="AV403" s="54">
        <f t="shared" si="34"/>
        <v>0</v>
      </c>
      <c r="AW403" s="54">
        <f t="shared" si="34"/>
        <v>0</v>
      </c>
      <c r="AX403" s="54">
        <f t="shared" si="34"/>
        <v>0</v>
      </c>
      <c r="AY403" s="185">
        <f t="shared" si="34"/>
        <v>0</v>
      </c>
      <c r="AZ403"/>
      <c r="BA403" s="44" t="str">
        <f t="shared" ca="1" si="30"/>
        <v>VariantAllowances</v>
      </c>
      <c r="BB403" s="44" t="str">
        <f t="shared" si="28"/>
        <v>TO variant allowances</v>
      </c>
      <c r="BC403" s="44" t="str">
        <f t="shared" si="29"/>
        <v>Variant allowances allocation to totex categories</v>
      </c>
    </row>
    <row r="404" spans="4:55">
      <c r="D404">
        <f t="shared" si="23"/>
        <v>2.5</v>
      </c>
      <c r="E404" s="212" t="str">
        <f t="shared" si="24"/>
        <v>Physical Security Price Control Deliverable - Re-Opener Element</v>
      </c>
      <c r="G404" s="43" t="str">
        <f t="shared" si="25"/>
        <v>£m 23/24 prices</v>
      </c>
      <c r="H404" s="43" t="str">
        <f t="shared" si="26"/>
        <v>Non-load (opex)</v>
      </c>
      <c r="AU404" s="143">
        <f t="shared" si="34"/>
        <v>0</v>
      </c>
      <c r="AV404" s="54">
        <f t="shared" si="34"/>
        <v>0</v>
      </c>
      <c r="AW404" s="54">
        <f t="shared" si="34"/>
        <v>0</v>
      </c>
      <c r="AX404" s="54">
        <f t="shared" si="34"/>
        <v>0</v>
      </c>
      <c r="AY404" s="185">
        <f t="shared" si="34"/>
        <v>0</v>
      </c>
      <c r="AZ404"/>
      <c r="BA404" s="44" t="str">
        <f t="shared" ca="1" si="30"/>
        <v>VariantAllowances</v>
      </c>
      <c r="BB404" s="44" t="str">
        <f t="shared" si="28"/>
        <v>TO variant allowances</v>
      </c>
      <c r="BC404" s="44" t="str">
        <f t="shared" si="29"/>
        <v>Variant allowances allocation to totex categories</v>
      </c>
    </row>
    <row r="405" spans="4:55">
      <c r="D405">
        <f t="shared" si="23"/>
        <v>2.5</v>
      </c>
      <c r="E405" s="201" t="str">
        <f t="shared" si="24"/>
        <v>Physical Security Price Control Deliverable - Re-Opener Element</v>
      </c>
      <c r="F405" s="225"/>
      <c r="G405" s="202" t="str">
        <f t="shared" si="25"/>
        <v>£m 23/24 prices</v>
      </c>
      <c r="H405" s="202" t="str">
        <f t="shared" si="26"/>
        <v>Indirects (opex)</v>
      </c>
      <c r="I405" s="202"/>
      <c r="J405" s="202"/>
      <c r="K405" s="202"/>
      <c r="L405" s="202"/>
      <c r="M405" s="202"/>
      <c r="N405" s="202"/>
      <c r="O405" s="202"/>
      <c r="P405" s="202"/>
      <c r="Q405" s="202"/>
      <c r="R405" s="202"/>
      <c r="S405" s="202"/>
      <c r="T405" s="202"/>
      <c r="U405" s="202"/>
      <c r="V405" s="202"/>
      <c r="W405" s="202"/>
      <c r="X405" s="202"/>
      <c r="Y405" s="202"/>
      <c r="Z405" s="202"/>
      <c r="AA405" s="202"/>
      <c r="AB405" s="202"/>
      <c r="AC405" s="202"/>
      <c r="AD405" s="202"/>
      <c r="AE405" s="202"/>
      <c r="AF405" s="202"/>
      <c r="AG405" s="202"/>
      <c r="AH405" s="202"/>
      <c r="AI405" s="202"/>
      <c r="AJ405" s="202"/>
      <c r="AK405" s="202"/>
      <c r="AL405" s="202"/>
      <c r="AM405" s="202"/>
      <c r="AN405" s="202"/>
      <c r="AO405" s="202"/>
      <c r="AP405" s="202"/>
      <c r="AQ405" s="202"/>
      <c r="AR405" s="202"/>
      <c r="AS405" s="202"/>
      <c r="AT405" s="203"/>
      <c r="AU405" s="232">
        <f t="shared" si="34"/>
        <v>0</v>
      </c>
      <c r="AV405" s="233">
        <f t="shared" si="34"/>
        <v>0</v>
      </c>
      <c r="AW405" s="233">
        <f t="shared" si="34"/>
        <v>0</v>
      </c>
      <c r="AX405" s="233">
        <f t="shared" si="34"/>
        <v>0</v>
      </c>
      <c r="AY405" s="234">
        <f t="shared" si="34"/>
        <v>0</v>
      </c>
      <c r="AZ405"/>
      <c r="BA405" s="44" t="str">
        <f t="shared" ca="1" si="30"/>
        <v>VariantAllowances</v>
      </c>
      <c r="BB405" s="44" t="str">
        <f t="shared" si="28"/>
        <v>TO variant allowances</v>
      </c>
      <c r="BC405" s="44" t="str">
        <f t="shared" si="29"/>
        <v>Variant allowances allocation to totex categories</v>
      </c>
    </row>
    <row r="406" spans="4:55">
      <c r="D406">
        <f t="shared" si="23"/>
        <v>2.5</v>
      </c>
      <c r="E406" s="195" t="str">
        <f t="shared" si="24"/>
        <v>Small Decarbonisation Projects Re-opener</v>
      </c>
      <c r="F406" s="221"/>
      <c r="G406" s="196" t="str">
        <f t="shared" si="25"/>
        <v>£m 23/24 prices</v>
      </c>
      <c r="H406" s="196" t="str">
        <f t="shared" si="26"/>
        <v>Load related capex</v>
      </c>
      <c r="I406" s="196"/>
      <c r="J406" s="196"/>
      <c r="K406" s="196"/>
      <c r="L406" s="196"/>
      <c r="M406" s="196"/>
      <c r="N406" s="196"/>
      <c r="O406" s="196"/>
      <c r="P406" s="196"/>
      <c r="Q406" s="196"/>
      <c r="R406" s="196"/>
      <c r="S406" s="196"/>
      <c r="T406" s="196"/>
      <c r="U406" s="196"/>
      <c r="V406" s="196"/>
      <c r="W406" s="196"/>
      <c r="X406" s="196"/>
      <c r="Y406" s="196"/>
      <c r="Z406" s="196"/>
      <c r="AA406" s="196"/>
      <c r="AB406" s="196"/>
      <c r="AC406" s="196"/>
      <c r="AD406" s="196"/>
      <c r="AE406" s="196"/>
      <c r="AF406" s="196"/>
      <c r="AG406" s="196"/>
      <c r="AH406" s="196"/>
      <c r="AI406" s="196"/>
      <c r="AJ406" s="196"/>
      <c r="AK406" s="196"/>
      <c r="AL406" s="196"/>
      <c r="AM406" s="196"/>
      <c r="AN406" s="196"/>
      <c r="AO406" s="196"/>
      <c r="AP406" s="196"/>
      <c r="AQ406" s="196"/>
      <c r="AR406" s="196"/>
      <c r="AS406" s="196"/>
      <c r="AT406" s="197"/>
      <c r="AU406" s="229">
        <f t="shared" si="34"/>
        <v>0</v>
      </c>
      <c r="AV406" s="230">
        <f t="shared" si="34"/>
        <v>0</v>
      </c>
      <c r="AW406" s="230">
        <f t="shared" si="34"/>
        <v>0</v>
      </c>
      <c r="AX406" s="230">
        <f t="shared" si="34"/>
        <v>0</v>
      </c>
      <c r="AY406" s="231">
        <f t="shared" si="34"/>
        <v>0</v>
      </c>
      <c r="AZ406"/>
      <c r="BA406" s="44" t="str">
        <f t="shared" ca="1" si="30"/>
        <v>VariantAllowances</v>
      </c>
      <c r="BB406" s="44" t="str">
        <f t="shared" si="28"/>
        <v>TO variant allowances</v>
      </c>
      <c r="BC406" s="44" t="str">
        <f t="shared" si="29"/>
        <v>Variant allowances allocation to totex categories</v>
      </c>
    </row>
    <row r="407" spans="4:55">
      <c r="D407">
        <f t="shared" si="23"/>
        <v>2.5</v>
      </c>
      <c r="E407" s="212" t="str">
        <f t="shared" si="24"/>
        <v>Small Decarbonisation Projects Re-opener</v>
      </c>
      <c r="G407" s="43" t="str">
        <f t="shared" si="25"/>
        <v>£m 23/24 prices</v>
      </c>
      <c r="H407" s="43" t="str">
        <f t="shared" si="26"/>
        <v>Asset replacement capex</v>
      </c>
      <c r="AU407" s="143">
        <f t="shared" si="34"/>
        <v>0</v>
      </c>
      <c r="AV407" s="54">
        <f t="shared" si="34"/>
        <v>0</v>
      </c>
      <c r="AW407" s="54">
        <f t="shared" si="34"/>
        <v>0</v>
      </c>
      <c r="AX407" s="54">
        <f t="shared" si="34"/>
        <v>0</v>
      </c>
      <c r="AY407" s="185">
        <f t="shared" si="34"/>
        <v>0</v>
      </c>
      <c r="AZ407"/>
      <c r="BA407" s="44" t="str">
        <f t="shared" ca="1" si="30"/>
        <v>VariantAllowances</v>
      </c>
      <c r="BB407" s="44" t="str">
        <f t="shared" si="28"/>
        <v>TO variant allowances</v>
      </c>
      <c r="BC407" s="44" t="str">
        <f t="shared" si="29"/>
        <v>Variant allowances allocation to totex categories</v>
      </c>
    </row>
    <row r="408" spans="4:55">
      <c r="D408">
        <f t="shared" si="23"/>
        <v>2.5</v>
      </c>
      <c r="E408" s="212" t="str">
        <f t="shared" si="24"/>
        <v>Small Decarbonisation Projects Re-opener</v>
      </c>
      <c r="G408" s="43" t="str">
        <f t="shared" si="25"/>
        <v>£m 23/24 prices</v>
      </c>
      <c r="H408" s="43" t="str">
        <f t="shared" si="26"/>
        <v>Other capex</v>
      </c>
      <c r="AU408" s="143">
        <f t="shared" ref="AU408:AY417" si="35">INDEX(AU$8:AU$50,MATCH($E408,$E$8:$E$50,0))*AU148</f>
        <v>41.924399999999999</v>
      </c>
      <c r="AV408" s="54">
        <f t="shared" si="35"/>
        <v>23.305800000000001</v>
      </c>
      <c r="AW408" s="54">
        <f t="shared" si="35"/>
        <v>23.305800000000001</v>
      </c>
      <c r="AX408" s="54">
        <f t="shared" si="35"/>
        <v>0</v>
      </c>
      <c r="AY408" s="185">
        <f t="shared" si="35"/>
        <v>0</v>
      </c>
      <c r="AZ408"/>
      <c r="BA408" s="44" t="str">
        <f t="shared" ca="1" si="30"/>
        <v>VariantAllowances</v>
      </c>
      <c r="BB408" s="44" t="str">
        <f t="shared" si="28"/>
        <v>TO variant allowances</v>
      </c>
      <c r="BC408" s="44" t="str">
        <f t="shared" si="29"/>
        <v>Variant allowances allocation to totex categories</v>
      </c>
    </row>
    <row r="409" spans="4:55">
      <c r="D409">
        <f t="shared" si="23"/>
        <v>2.5</v>
      </c>
      <c r="E409" s="212" t="str">
        <f t="shared" si="24"/>
        <v>Small Decarbonisation Projects Re-opener</v>
      </c>
      <c r="G409" s="43" t="str">
        <f t="shared" si="25"/>
        <v>£m 23/24 prices</v>
      </c>
      <c r="H409" s="43" t="str">
        <f t="shared" si="26"/>
        <v>Non-operational capex</v>
      </c>
      <c r="AU409" s="143">
        <f t="shared" si="35"/>
        <v>0</v>
      </c>
      <c r="AV409" s="54">
        <f t="shared" si="35"/>
        <v>0</v>
      </c>
      <c r="AW409" s="54">
        <f t="shared" si="35"/>
        <v>0</v>
      </c>
      <c r="AX409" s="54">
        <f t="shared" si="35"/>
        <v>0</v>
      </c>
      <c r="AY409" s="185">
        <f t="shared" si="35"/>
        <v>0</v>
      </c>
      <c r="AZ409"/>
      <c r="BA409" s="44" t="str">
        <f t="shared" ca="1" si="30"/>
        <v>VariantAllowances</v>
      </c>
      <c r="BB409" s="44" t="str">
        <f t="shared" si="28"/>
        <v>TO variant allowances</v>
      </c>
      <c r="BC409" s="44" t="str">
        <f t="shared" si="29"/>
        <v>Variant allowances allocation to totex categories</v>
      </c>
    </row>
    <row r="410" spans="4:55">
      <c r="D410">
        <f t="shared" si="23"/>
        <v>2.5</v>
      </c>
      <c r="E410" s="212" t="str">
        <f t="shared" si="24"/>
        <v>Small Decarbonisation Projects Re-opener</v>
      </c>
      <c r="G410" s="43" t="str">
        <f t="shared" si="25"/>
        <v>£m 23/24 prices</v>
      </c>
      <c r="H410" s="43" t="str">
        <f t="shared" si="26"/>
        <v>Non-load (opex)</v>
      </c>
      <c r="AU410" s="143">
        <f t="shared" si="35"/>
        <v>3.1556000000000002</v>
      </c>
      <c r="AV410" s="54">
        <f t="shared" si="35"/>
        <v>1.7542</v>
      </c>
      <c r="AW410" s="54">
        <f t="shared" si="35"/>
        <v>1.7542</v>
      </c>
      <c r="AX410" s="54">
        <f t="shared" si="35"/>
        <v>0</v>
      </c>
      <c r="AY410" s="185">
        <f t="shared" si="35"/>
        <v>0</v>
      </c>
      <c r="AZ410"/>
      <c r="BA410" s="44" t="str">
        <f t="shared" ca="1" si="30"/>
        <v>VariantAllowances</v>
      </c>
      <c r="BB410" s="44" t="str">
        <f t="shared" si="28"/>
        <v>TO variant allowances</v>
      </c>
      <c r="BC410" s="44" t="str">
        <f t="shared" si="29"/>
        <v>Variant allowances allocation to totex categories</v>
      </c>
    </row>
    <row r="411" spans="4:55">
      <c r="D411">
        <f t="shared" si="23"/>
        <v>2.5</v>
      </c>
      <c r="E411" s="201" t="str">
        <f t="shared" si="24"/>
        <v>Small Decarbonisation Projects Re-opener</v>
      </c>
      <c r="F411" s="225"/>
      <c r="G411" s="202" t="str">
        <f t="shared" si="25"/>
        <v>£m 23/24 prices</v>
      </c>
      <c r="H411" s="202" t="str">
        <f t="shared" si="26"/>
        <v>Indirects (opex)</v>
      </c>
      <c r="I411" s="202"/>
      <c r="J411" s="202"/>
      <c r="K411" s="202"/>
      <c r="L411" s="202"/>
      <c r="M411" s="202"/>
      <c r="N411" s="202"/>
      <c r="O411" s="202"/>
      <c r="P411" s="202"/>
      <c r="Q411" s="202"/>
      <c r="R411" s="202"/>
      <c r="S411" s="202"/>
      <c r="T411" s="202"/>
      <c r="U411" s="202"/>
      <c r="V411" s="202"/>
      <c r="W411" s="202"/>
      <c r="X411" s="202"/>
      <c r="Y411" s="202"/>
      <c r="Z411" s="202"/>
      <c r="AA411" s="202"/>
      <c r="AB411" s="202"/>
      <c r="AC411" s="202"/>
      <c r="AD411" s="202"/>
      <c r="AE411" s="202"/>
      <c r="AF411" s="202"/>
      <c r="AG411" s="202"/>
      <c r="AH411" s="202"/>
      <c r="AI411" s="202"/>
      <c r="AJ411" s="202"/>
      <c r="AK411" s="202"/>
      <c r="AL411" s="202"/>
      <c r="AM411" s="202"/>
      <c r="AN411" s="202"/>
      <c r="AO411" s="202"/>
      <c r="AP411" s="202"/>
      <c r="AQ411" s="202"/>
      <c r="AR411" s="202"/>
      <c r="AS411" s="202"/>
      <c r="AT411" s="203"/>
      <c r="AU411" s="232">
        <f t="shared" si="35"/>
        <v>0</v>
      </c>
      <c r="AV411" s="233">
        <f t="shared" si="35"/>
        <v>0</v>
      </c>
      <c r="AW411" s="233">
        <f t="shared" si="35"/>
        <v>0</v>
      </c>
      <c r="AX411" s="233">
        <f t="shared" si="35"/>
        <v>0</v>
      </c>
      <c r="AY411" s="234">
        <f t="shared" si="35"/>
        <v>0</v>
      </c>
      <c r="AZ411"/>
      <c r="BA411" s="44" t="str">
        <f t="shared" ca="1" si="30"/>
        <v>VariantAllowances</v>
      </c>
      <c r="BB411" s="44" t="str">
        <f t="shared" si="28"/>
        <v>TO variant allowances</v>
      </c>
      <c r="BC411" s="44" t="str">
        <f t="shared" si="29"/>
        <v>Variant allowances allocation to totex categories</v>
      </c>
    </row>
    <row r="412" spans="4:55">
      <c r="D412">
        <f t="shared" si="23"/>
        <v>1.5</v>
      </c>
      <c r="E412" s="195" t="str">
        <f t="shared" si="24"/>
        <v>Decarbonisation Project Development Fund UIOLI</v>
      </c>
      <c r="F412" s="221"/>
      <c r="G412" s="196" t="str">
        <f t="shared" si="25"/>
        <v>£m 23/24 prices</v>
      </c>
      <c r="H412" s="196" t="str">
        <f t="shared" si="26"/>
        <v>Load related capex</v>
      </c>
      <c r="I412" s="196"/>
      <c r="J412" s="196"/>
      <c r="K412" s="196"/>
      <c r="L412" s="196"/>
      <c r="M412" s="196"/>
      <c r="N412" s="196"/>
      <c r="O412" s="196"/>
      <c r="P412" s="196"/>
      <c r="Q412" s="196"/>
      <c r="R412" s="196"/>
      <c r="S412" s="196"/>
      <c r="T412" s="196"/>
      <c r="U412" s="196"/>
      <c r="V412" s="196"/>
      <c r="W412" s="196"/>
      <c r="X412" s="196"/>
      <c r="Y412" s="196"/>
      <c r="Z412" s="196"/>
      <c r="AA412" s="196"/>
      <c r="AB412" s="196"/>
      <c r="AC412" s="196"/>
      <c r="AD412" s="196"/>
      <c r="AE412" s="196"/>
      <c r="AF412" s="196"/>
      <c r="AG412" s="196"/>
      <c r="AH412" s="196"/>
      <c r="AI412" s="196"/>
      <c r="AJ412" s="196"/>
      <c r="AK412" s="196"/>
      <c r="AL412" s="196"/>
      <c r="AM412" s="196"/>
      <c r="AN412" s="196"/>
      <c r="AO412" s="196"/>
      <c r="AP412" s="196"/>
      <c r="AQ412" s="196"/>
      <c r="AR412" s="196"/>
      <c r="AS412" s="196"/>
      <c r="AT412" s="197"/>
      <c r="AU412" s="229">
        <f t="shared" si="35"/>
        <v>0</v>
      </c>
      <c r="AV412" s="230">
        <f t="shared" si="35"/>
        <v>0</v>
      </c>
      <c r="AW412" s="230">
        <f t="shared" si="35"/>
        <v>0</v>
      </c>
      <c r="AX412" s="230">
        <f t="shared" si="35"/>
        <v>0</v>
      </c>
      <c r="AY412" s="231">
        <f t="shared" si="35"/>
        <v>0</v>
      </c>
      <c r="AZ412"/>
      <c r="BA412" s="44" t="str">
        <f t="shared" ca="1" si="30"/>
        <v>VariantAllowances</v>
      </c>
      <c r="BB412" s="44" t="str">
        <f t="shared" si="28"/>
        <v>TO variant allowances</v>
      </c>
      <c r="BC412" s="44" t="str">
        <f t="shared" si="29"/>
        <v>Variant allowances allocation to totex categories</v>
      </c>
    </row>
    <row r="413" spans="4:55">
      <c r="D413">
        <f t="shared" si="23"/>
        <v>1.5</v>
      </c>
      <c r="E413" s="212" t="str">
        <f t="shared" si="24"/>
        <v>Decarbonisation Project Development Fund UIOLI</v>
      </c>
      <c r="G413" s="43" t="str">
        <f t="shared" si="25"/>
        <v>£m 23/24 prices</v>
      </c>
      <c r="H413" s="43" t="str">
        <f t="shared" si="26"/>
        <v>Asset replacement capex</v>
      </c>
      <c r="AU413" s="143">
        <f t="shared" si="35"/>
        <v>0</v>
      </c>
      <c r="AV413" s="54">
        <f t="shared" si="35"/>
        <v>0</v>
      </c>
      <c r="AW413" s="54">
        <f t="shared" si="35"/>
        <v>0</v>
      </c>
      <c r="AX413" s="54">
        <f t="shared" si="35"/>
        <v>0</v>
      </c>
      <c r="AY413" s="185">
        <f t="shared" si="35"/>
        <v>0</v>
      </c>
      <c r="AZ413"/>
      <c r="BA413" s="44" t="str">
        <f t="shared" ca="1" si="30"/>
        <v>VariantAllowances</v>
      </c>
      <c r="BB413" s="44" t="str">
        <f t="shared" si="28"/>
        <v>TO variant allowances</v>
      </c>
      <c r="BC413" s="44" t="str">
        <f t="shared" si="29"/>
        <v>Variant allowances allocation to totex categories</v>
      </c>
    </row>
    <row r="414" spans="4:55">
      <c r="D414">
        <f t="shared" si="23"/>
        <v>1.5</v>
      </c>
      <c r="E414" s="212" t="str">
        <f t="shared" si="24"/>
        <v>Decarbonisation Project Development Fund UIOLI</v>
      </c>
      <c r="G414" s="43" t="str">
        <f t="shared" si="25"/>
        <v>£m 23/24 prices</v>
      </c>
      <c r="H414" s="43" t="str">
        <f t="shared" si="26"/>
        <v>Other capex</v>
      </c>
      <c r="AU414" s="143">
        <f t="shared" si="35"/>
        <v>3.26</v>
      </c>
      <c r="AV414" s="54">
        <f t="shared" si="35"/>
        <v>3.27</v>
      </c>
      <c r="AW414" s="54">
        <f t="shared" si="35"/>
        <v>3.3</v>
      </c>
      <c r="AX414" s="54">
        <f t="shared" si="35"/>
        <v>3.02</v>
      </c>
      <c r="AY414" s="185">
        <f t="shared" si="35"/>
        <v>3.14</v>
      </c>
      <c r="AZ414"/>
      <c r="BA414" s="44" t="str">
        <f t="shared" ca="1" si="30"/>
        <v>VariantAllowances</v>
      </c>
      <c r="BB414" s="44" t="str">
        <f t="shared" si="28"/>
        <v>TO variant allowances</v>
      </c>
      <c r="BC414" s="44" t="str">
        <f t="shared" si="29"/>
        <v>Variant allowances allocation to totex categories</v>
      </c>
    </row>
    <row r="415" spans="4:55">
      <c r="D415">
        <f t="shared" si="23"/>
        <v>1.5</v>
      </c>
      <c r="E415" s="212" t="str">
        <f t="shared" si="24"/>
        <v>Decarbonisation Project Development Fund UIOLI</v>
      </c>
      <c r="G415" s="43" t="str">
        <f t="shared" si="25"/>
        <v>£m 23/24 prices</v>
      </c>
      <c r="H415" s="43" t="str">
        <f t="shared" si="26"/>
        <v>Non-operational capex</v>
      </c>
      <c r="AU415" s="143">
        <f t="shared" si="35"/>
        <v>0</v>
      </c>
      <c r="AV415" s="54">
        <f t="shared" si="35"/>
        <v>0</v>
      </c>
      <c r="AW415" s="54">
        <f t="shared" si="35"/>
        <v>0</v>
      </c>
      <c r="AX415" s="54">
        <f t="shared" si="35"/>
        <v>0</v>
      </c>
      <c r="AY415" s="185">
        <f t="shared" si="35"/>
        <v>0</v>
      </c>
      <c r="AZ415"/>
      <c r="BA415" s="44" t="str">
        <f t="shared" ca="1" si="30"/>
        <v>VariantAllowances</v>
      </c>
      <c r="BB415" s="44" t="str">
        <f t="shared" si="28"/>
        <v>TO variant allowances</v>
      </c>
      <c r="BC415" s="44" t="str">
        <f t="shared" si="29"/>
        <v>Variant allowances allocation to totex categories</v>
      </c>
    </row>
    <row r="416" spans="4:55">
      <c r="D416">
        <f t="shared" si="23"/>
        <v>1.5</v>
      </c>
      <c r="E416" s="212" t="str">
        <f t="shared" si="24"/>
        <v>Decarbonisation Project Development Fund UIOLI</v>
      </c>
      <c r="G416" s="43" t="str">
        <f t="shared" si="25"/>
        <v>£m 23/24 prices</v>
      </c>
      <c r="H416" s="43" t="str">
        <f t="shared" si="26"/>
        <v>Non-load (opex)</v>
      </c>
      <c r="AU416" s="143">
        <f t="shared" si="35"/>
        <v>0</v>
      </c>
      <c r="AV416" s="54">
        <f t="shared" si="35"/>
        <v>0</v>
      </c>
      <c r="AW416" s="54">
        <f t="shared" si="35"/>
        <v>0</v>
      </c>
      <c r="AX416" s="54">
        <f t="shared" si="35"/>
        <v>0</v>
      </c>
      <c r="AY416" s="185">
        <f t="shared" si="35"/>
        <v>0</v>
      </c>
      <c r="AZ416"/>
      <c r="BA416" s="44" t="str">
        <f t="shared" ca="1" si="30"/>
        <v>VariantAllowances</v>
      </c>
      <c r="BB416" s="44" t="str">
        <f t="shared" si="28"/>
        <v>TO variant allowances</v>
      </c>
      <c r="BC416" s="44" t="str">
        <f t="shared" si="29"/>
        <v>Variant allowances allocation to totex categories</v>
      </c>
    </row>
    <row r="417" spans="4:55">
      <c r="D417">
        <f t="shared" si="23"/>
        <v>1.5</v>
      </c>
      <c r="E417" s="201" t="str">
        <f t="shared" si="24"/>
        <v>Decarbonisation Project Development Fund UIOLI</v>
      </c>
      <c r="F417" s="225"/>
      <c r="G417" s="202" t="str">
        <f t="shared" si="25"/>
        <v>£m 23/24 prices</v>
      </c>
      <c r="H417" s="202" t="str">
        <f t="shared" si="26"/>
        <v>Indirects (opex)</v>
      </c>
      <c r="I417" s="202"/>
      <c r="J417" s="202"/>
      <c r="K417" s="202"/>
      <c r="L417" s="202"/>
      <c r="M417" s="202"/>
      <c r="N417" s="202"/>
      <c r="O417" s="202"/>
      <c r="P417" s="202"/>
      <c r="Q417" s="202"/>
      <c r="R417" s="202"/>
      <c r="S417" s="202"/>
      <c r="T417" s="202"/>
      <c r="U417" s="202"/>
      <c r="V417" s="202"/>
      <c r="W417" s="202"/>
      <c r="X417" s="202"/>
      <c r="Y417" s="202"/>
      <c r="Z417" s="202"/>
      <c r="AA417" s="202"/>
      <c r="AB417" s="202"/>
      <c r="AC417" s="202"/>
      <c r="AD417" s="202"/>
      <c r="AE417" s="202"/>
      <c r="AF417" s="202"/>
      <c r="AG417" s="202"/>
      <c r="AH417" s="202"/>
      <c r="AI417" s="202"/>
      <c r="AJ417" s="202"/>
      <c r="AK417" s="202"/>
      <c r="AL417" s="202"/>
      <c r="AM417" s="202"/>
      <c r="AN417" s="202"/>
      <c r="AO417" s="202"/>
      <c r="AP417" s="202"/>
      <c r="AQ417" s="202"/>
      <c r="AR417" s="202"/>
      <c r="AS417" s="202"/>
      <c r="AT417" s="203"/>
      <c r="AU417" s="232">
        <f t="shared" si="35"/>
        <v>0</v>
      </c>
      <c r="AV417" s="233">
        <f t="shared" si="35"/>
        <v>0</v>
      </c>
      <c r="AW417" s="233">
        <f t="shared" si="35"/>
        <v>0</v>
      </c>
      <c r="AX417" s="233">
        <f t="shared" si="35"/>
        <v>0</v>
      </c>
      <c r="AY417" s="234">
        <f t="shared" si="35"/>
        <v>0</v>
      </c>
      <c r="AZ417"/>
      <c r="BA417" s="44" t="str">
        <f t="shared" ca="1" si="30"/>
        <v>VariantAllowances</v>
      </c>
      <c r="BB417" s="44" t="str">
        <f t="shared" si="28"/>
        <v>TO variant allowances</v>
      </c>
      <c r="BC417" s="44" t="str">
        <f t="shared" si="29"/>
        <v>Variant allowances allocation to totex categories</v>
      </c>
    </row>
    <row r="418" spans="4:55">
      <c r="D418">
        <f t="shared" si="23"/>
        <v>2.5</v>
      </c>
      <c r="E418" s="195" t="str">
        <f t="shared" si="24"/>
        <v>Decarbonisation and Environmental Policy Re-Opener</v>
      </c>
      <c r="F418" s="221"/>
      <c r="G418" s="196" t="str">
        <f t="shared" si="25"/>
        <v>£m 23/24 prices</v>
      </c>
      <c r="H418" s="196" t="str">
        <f t="shared" si="26"/>
        <v>Load related capex</v>
      </c>
      <c r="I418" s="196"/>
      <c r="J418" s="196"/>
      <c r="K418" s="196"/>
      <c r="L418" s="196"/>
      <c r="M418" s="196"/>
      <c r="N418" s="196"/>
      <c r="O418" s="196"/>
      <c r="P418" s="196"/>
      <c r="Q418" s="196"/>
      <c r="R418" s="196"/>
      <c r="S418" s="196"/>
      <c r="T418" s="196"/>
      <c r="U418" s="196"/>
      <c r="V418" s="196"/>
      <c r="W418" s="196"/>
      <c r="X418" s="196"/>
      <c r="Y418" s="196"/>
      <c r="Z418" s="196"/>
      <c r="AA418" s="196"/>
      <c r="AB418" s="196"/>
      <c r="AC418" s="196"/>
      <c r="AD418" s="196"/>
      <c r="AE418" s="196"/>
      <c r="AF418" s="196"/>
      <c r="AG418" s="196"/>
      <c r="AH418" s="196"/>
      <c r="AI418" s="196"/>
      <c r="AJ418" s="196"/>
      <c r="AK418" s="196"/>
      <c r="AL418" s="196"/>
      <c r="AM418" s="196"/>
      <c r="AN418" s="196"/>
      <c r="AO418" s="196"/>
      <c r="AP418" s="196"/>
      <c r="AQ418" s="196"/>
      <c r="AR418" s="196"/>
      <c r="AS418" s="196"/>
      <c r="AT418" s="197"/>
      <c r="AU418" s="229">
        <f t="shared" ref="AU418:AY427" si="36">INDEX(AU$8:AU$50,MATCH($E418,$E$8:$E$50,0))*AU158</f>
        <v>0</v>
      </c>
      <c r="AV418" s="230">
        <f t="shared" si="36"/>
        <v>0</v>
      </c>
      <c r="AW418" s="230">
        <f t="shared" si="36"/>
        <v>0</v>
      </c>
      <c r="AX418" s="230">
        <f t="shared" si="36"/>
        <v>0</v>
      </c>
      <c r="AY418" s="231">
        <f t="shared" si="36"/>
        <v>0</v>
      </c>
      <c r="AZ418"/>
      <c r="BA418" s="44" t="str">
        <f t="shared" ca="1" si="30"/>
        <v>VariantAllowances</v>
      </c>
      <c r="BB418" s="44" t="str">
        <f t="shared" si="28"/>
        <v>TO variant allowances</v>
      </c>
      <c r="BC418" s="44" t="str">
        <f t="shared" si="29"/>
        <v>Variant allowances allocation to totex categories</v>
      </c>
    </row>
    <row r="419" spans="4:55">
      <c r="D419">
        <f t="shared" si="23"/>
        <v>2.5</v>
      </c>
      <c r="E419" s="212" t="str">
        <f t="shared" si="24"/>
        <v>Decarbonisation and Environmental Policy Re-Opener</v>
      </c>
      <c r="G419" s="43" t="str">
        <f t="shared" si="25"/>
        <v>£m 23/24 prices</v>
      </c>
      <c r="H419" s="43" t="str">
        <f t="shared" si="26"/>
        <v>Asset replacement capex</v>
      </c>
      <c r="AU419" s="143">
        <f t="shared" si="36"/>
        <v>111.92495945032526</v>
      </c>
      <c r="AV419" s="54">
        <f t="shared" si="36"/>
        <v>224.74303368309342</v>
      </c>
      <c r="AW419" s="54">
        <f t="shared" si="36"/>
        <v>239.55849453497493</v>
      </c>
      <c r="AX419" s="54">
        <f t="shared" si="36"/>
        <v>113.42545584240882</v>
      </c>
      <c r="AY419" s="185">
        <f t="shared" si="36"/>
        <v>57.451295833539724</v>
      </c>
      <c r="AZ419"/>
      <c r="BA419" s="44" t="str">
        <f t="shared" ca="1" si="30"/>
        <v>VariantAllowances</v>
      </c>
      <c r="BB419" s="44" t="str">
        <f t="shared" si="28"/>
        <v>TO variant allowances</v>
      </c>
      <c r="BC419" s="44" t="str">
        <f t="shared" si="29"/>
        <v>Variant allowances allocation to totex categories</v>
      </c>
    </row>
    <row r="420" spans="4:55">
      <c r="D420">
        <f t="shared" si="23"/>
        <v>2.5</v>
      </c>
      <c r="E420" s="212" t="str">
        <f t="shared" si="24"/>
        <v>Decarbonisation and Environmental Policy Re-Opener</v>
      </c>
      <c r="G420" s="43" t="str">
        <f t="shared" si="25"/>
        <v>£m 23/24 prices</v>
      </c>
      <c r="H420" s="43" t="str">
        <f t="shared" si="26"/>
        <v>Other capex</v>
      </c>
      <c r="AU420" s="143">
        <f t="shared" si="36"/>
        <v>0</v>
      </c>
      <c r="AV420" s="54">
        <f t="shared" si="36"/>
        <v>0</v>
      </c>
      <c r="AW420" s="54">
        <f t="shared" si="36"/>
        <v>0</v>
      </c>
      <c r="AX420" s="54">
        <f t="shared" si="36"/>
        <v>0</v>
      </c>
      <c r="AY420" s="185">
        <f t="shared" si="36"/>
        <v>0</v>
      </c>
      <c r="AZ420"/>
      <c r="BA420" s="44" t="str">
        <f t="shared" ca="1" si="30"/>
        <v>VariantAllowances</v>
      </c>
      <c r="BB420" s="44" t="str">
        <f t="shared" si="28"/>
        <v>TO variant allowances</v>
      </c>
      <c r="BC420" s="44" t="str">
        <f t="shared" si="29"/>
        <v>Variant allowances allocation to totex categories</v>
      </c>
    </row>
    <row r="421" spans="4:55">
      <c r="D421">
        <f t="shared" si="23"/>
        <v>2.5</v>
      </c>
      <c r="E421" s="212" t="str">
        <f t="shared" si="24"/>
        <v>Decarbonisation and Environmental Policy Re-Opener</v>
      </c>
      <c r="G421" s="43" t="str">
        <f t="shared" si="25"/>
        <v>£m 23/24 prices</v>
      </c>
      <c r="H421" s="43" t="str">
        <f t="shared" si="26"/>
        <v>Non-operational capex</v>
      </c>
      <c r="AU421" s="143">
        <f t="shared" si="36"/>
        <v>0</v>
      </c>
      <c r="AV421" s="54">
        <f t="shared" si="36"/>
        <v>0</v>
      </c>
      <c r="AW421" s="54">
        <f t="shared" si="36"/>
        <v>0</v>
      </c>
      <c r="AX421" s="54">
        <f t="shared" si="36"/>
        <v>0</v>
      </c>
      <c r="AY421" s="185">
        <f t="shared" si="36"/>
        <v>0</v>
      </c>
      <c r="AZ421"/>
      <c r="BA421" s="44" t="str">
        <f t="shared" ca="1" si="30"/>
        <v>VariantAllowances</v>
      </c>
      <c r="BB421" s="44" t="str">
        <f t="shared" si="28"/>
        <v>TO variant allowances</v>
      </c>
      <c r="BC421" s="44" t="str">
        <f t="shared" si="29"/>
        <v>Variant allowances allocation to totex categories</v>
      </c>
    </row>
    <row r="422" spans="4:55">
      <c r="D422">
        <f t="shared" ref="D422:D485" si="37">INDEX($AY$53:$AY$95,MATCH(E422,$E$53:$E$95,0))</f>
        <v>2.5</v>
      </c>
      <c r="E422" s="212" t="str">
        <f t="shared" ref="E422:E485" si="38">E162</f>
        <v>Decarbonisation and Environmental Policy Re-Opener</v>
      </c>
      <c r="G422" s="43" t="str">
        <f t="shared" ref="G422:G485" si="39">price_label</f>
        <v>£m 23/24 prices</v>
      </c>
      <c r="H422" s="43" t="str">
        <f t="shared" ref="H422:H485" si="40">H162</f>
        <v>Non-load (opex)</v>
      </c>
      <c r="AU422" s="143">
        <f t="shared" si="36"/>
        <v>0</v>
      </c>
      <c r="AV422" s="54">
        <f t="shared" si="36"/>
        <v>0</v>
      </c>
      <c r="AW422" s="54">
        <f t="shared" si="36"/>
        <v>0</v>
      </c>
      <c r="AX422" s="54">
        <f t="shared" si="36"/>
        <v>0</v>
      </c>
      <c r="AY422" s="185">
        <f t="shared" si="36"/>
        <v>0</v>
      </c>
      <c r="AZ422"/>
      <c r="BA422" s="44" t="str">
        <f t="shared" ca="1" si="30"/>
        <v>VariantAllowances</v>
      </c>
      <c r="BB422" s="44" t="str">
        <f t="shared" ref="BB422:BB485" si="41">$A$6</f>
        <v>TO variant allowances</v>
      </c>
      <c r="BC422" s="44" t="str">
        <f t="shared" ref="BC422:BC485" si="42">$B$357</f>
        <v>Variant allowances allocation to totex categories</v>
      </c>
    </row>
    <row r="423" spans="4:55">
      <c r="D423">
        <f t="shared" si="37"/>
        <v>2.5</v>
      </c>
      <c r="E423" s="201" t="str">
        <f t="shared" si="38"/>
        <v>Decarbonisation and Environmental Policy Re-Opener</v>
      </c>
      <c r="F423" s="225"/>
      <c r="G423" s="202" t="str">
        <f t="shared" si="39"/>
        <v>£m 23/24 prices</v>
      </c>
      <c r="H423" s="202" t="str">
        <f t="shared" si="40"/>
        <v>Indirects (opex)</v>
      </c>
      <c r="I423" s="202"/>
      <c r="J423" s="202"/>
      <c r="K423" s="202"/>
      <c r="L423" s="202"/>
      <c r="M423" s="202"/>
      <c r="N423" s="202"/>
      <c r="O423" s="202"/>
      <c r="P423" s="202"/>
      <c r="Q423" s="202"/>
      <c r="R423" s="202"/>
      <c r="S423" s="202"/>
      <c r="T423" s="202"/>
      <c r="U423" s="202"/>
      <c r="V423" s="202"/>
      <c r="W423" s="202"/>
      <c r="X423" s="202"/>
      <c r="Y423" s="202"/>
      <c r="Z423" s="202"/>
      <c r="AA423" s="202"/>
      <c r="AB423" s="202"/>
      <c r="AC423" s="202"/>
      <c r="AD423" s="202"/>
      <c r="AE423" s="202"/>
      <c r="AF423" s="202"/>
      <c r="AG423" s="202"/>
      <c r="AH423" s="202"/>
      <c r="AI423" s="202"/>
      <c r="AJ423" s="202"/>
      <c r="AK423" s="202"/>
      <c r="AL423" s="202"/>
      <c r="AM423" s="202"/>
      <c r="AN423" s="202"/>
      <c r="AO423" s="202"/>
      <c r="AP423" s="202"/>
      <c r="AQ423" s="202"/>
      <c r="AR423" s="202"/>
      <c r="AS423" s="202"/>
      <c r="AT423" s="203"/>
      <c r="AU423" s="232">
        <f t="shared" si="36"/>
        <v>0</v>
      </c>
      <c r="AV423" s="233">
        <f t="shared" si="36"/>
        <v>0</v>
      </c>
      <c r="AW423" s="233">
        <f t="shared" si="36"/>
        <v>0</v>
      </c>
      <c r="AX423" s="233">
        <f t="shared" si="36"/>
        <v>0</v>
      </c>
      <c r="AY423" s="234">
        <f t="shared" si="36"/>
        <v>0</v>
      </c>
      <c r="AZ423"/>
      <c r="BA423" s="44" t="str">
        <f t="shared" ref="BA423:BA486" ca="1" si="43">$A$1</f>
        <v>VariantAllowances</v>
      </c>
      <c r="BB423" s="44" t="str">
        <f t="shared" si="41"/>
        <v>TO variant allowances</v>
      </c>
      <c r="BC423" s="44" t="str">
        <f t="shared" si="42"/>
        <v>Variant allowances allocation to totex categories</v>
      </c>
    </row>
    <row r="424" spans="4:55">
      <c r="D424">
        <f t="shared" si="37"/>
        <v>2.5</v>
      </c>
      <c r="E424" s="195" t="str">
        <f t="shared" si="38"/>
        <v>Digitalisation Re-opener</v>
      </c>
      <c r="F424" s="221"/>
      <c r="G424" s="196" t="str">
        <f t="shared" si="39"/>
        <v>£m 23/24 prices</v>
      </c>
      <c r="H424" s="196" t="str">
        <f t="shared" si="40"/>
        <v>Load related capex</v>
      </c>
      <c r="I424" s="196"/>
      <c r="J424" s="196"/>
      <c r="K424" s="196"/>
      <c r="L424" s="196"/>
      <c r="M424" s="196"/>
      <c r="N424" s="196"/>
      <c r="O424" s="196"/>
      <c r="P424" s="196"/>
      <c r="Q424" s="196"/>
      <c r="R424" s="196"/>
      <c r="S424" s="196"/>
      <c r="T424" s="196"/>
      <c r="U424" s="196"/>
      <c r="V424" s="196"/>
      <c r="W424" s="196"/>
      <c r="X424" s="196"/>
      <c r="Y424" s="196"/>
      <c r="Z424" s="196"/>
      <c r="AA424" s="196"/>
      <c r="AB424" s="196"/>
      <c r="AC424" s="196"/>
      <c r="AD424" s="196"/>
      <c r="AE424" s="196"/>
      <c r="AF424" s="196"/>
      <c r="AG424" s="196"/>
      <c r="AH424" s="196"/>
      <c r="AI424" s="196"/>
      <c r="AJ424" s="196"/>
      <c r="AK424" s="196"/>
      <c r="AL424" s="196"/>
      <c r="AM424" s="196"/>
      <c r="AN424" s="196"/>
      <c r="AO424" s="196"/>
      <c r="AP424" s="196"/>
      <c r="AQ424" s="196"/>
      <c r="AR424" s="196"/>
      <c r="AS424" s="196"/>
      <c r="AT424" s="197"/>
      <c r="AU424" s="229">
        <f t="shared" si="36"/>
        <v>0</v>
      </c>
      <c r="AV424" s="230">
        <f t="shared" si="36"/>
        <v>0</v>
      </c>
      <c r="AW424" s="230">
        <f t="shared" si="36"/>
        <v>0</v>
      </c>
      <c r="AX424" s="230">
        <f t="shared" si="36"/>
        <v>0</v>
      </c>
      <c r="AY424" s="231">
        <f t="shared" si="36"/>
        <v>0</v>
      </c>
      <c r="AZ424"/>
      <c r="BA424" s="44" t="str">
        <f t="shared" ca="1" si="43"/>
        <v>VariantAllowances</v>
      </c>
      <c r="BB424" s="44" t="str">
        <f t="shared" si="41"/>
        <v>TO variant allowances</v>
      </c>
      <c r="BC424" s="44" t="str">
        <f t="shared" si="42"/>
        <v>Variant allowances allocation to totex categories</v>
      </c>
    </row>
    <row r="425" spans="4:55">
      <c r="D425">
        <f t="shared" si="37"/>
        <v>2.5</v>
      </c>
      <c r="E425" s="212" t="str">
        <f t="shared" si="38"/>
        <v>Digitalisation Re-opener</v>
      </c>
      <c r="G425" s="43" t="str">
        <f t="shared" si="39"/>
        <v>£m 23/24 prices</v>
      </c>
      <c r="H425" s="43" t="str">
        <f t="shared" si="40"/>
        <v>Asset replacement capex</v>
      </c>
      <c r="AU425" s="143">
        <f t="shared" si="36"/>
        <v>0</v>
      </c>
      <c r="AV425" s="54">
        <f t="shared" si="36"/>
        <v>0</v>
      </c>
      <c r="AW425" s="54">
        <f t="shared" si="36"/>
        <v>0</v>
      </c>
      <c r="AX425" s="54">
        <f t="shared" si="36"/>
        <v>0</v>
      </c>
      <c r="AY425" s="185">
        <f t="shared" si="36"/>
        <v>0</v>
      </c>
      <c r="AZ425"/>
      <c r="BA425" s="44" t="str">
        <f t="shared" ca="1" si="43"/>
        <v>VariantAllowances</v>
      </c>
      <c r="BB425" s="44" t="str">
        <f t="shared" si="41"/>
        <v>TO variant allowances</v>
      </c>
      <c r="BC425" s="44" t="str">
        <f t="shared" si="42"/>
        <v>Variant allowances allocation to totex categories</v>
      </c>
    </row>
    <row r="426" spans="4:55">
      <c r="D426">
        <f t="shared" si="37"/>
        <v>2.5</v>
      </c>
      <c r="E426" s="212" t="str">
        <f t="shared" si="38"/>
        <v>Digitalisation Re-opener</v>
      </c>
      <c r="G426" s="43" t="str">
        <f t="shared" si="39"/>
        <v>£m 23/24 prices</v>
      </c>
      <c r="H426" s="43" t="str">
        <f t="shared" si="40"/>
        <v>Other capex</v>
      </c>
      <c r="AU426" s="143">
        <f t="shared" si="36"/>
        <v>0</v>
      </c>
      <c r="AV426" s="54">
        <f t="shared" si="36"/>
        <v>0</v>
      </c>
      <c r="AW426" s="54">
        <f t="shared" si="36"/>
        <v>18.736993307516585</v>
      </c>
      <c r="AX426" s="54">
        <f t="shared" si="36"/>
        <v>20.390050887908291</v>
      </c>
      <c r="AY426" s="185">
        <f t="shared" si="36"/>
        <v>0</v>
      </c>
      <c r="AZ426"/>
      <c r="BA426" s="44" t="str">
        <f t="shared" ca="1" si="43"/>
        <v>VariantAllowances</v>
      </c>
      <c r="BB426" s="44" t="str">
        <f t="shared" si="41"/>
        <v>TO variant allowances</v>
      </c>
      <c r="BC426" s="44" t="str">
        <f t="shared" si="42"/>
        <v>Variant allowances allocation to totex categories</v>
      </c>
    </row>
    <row r="427" spans="4:55">
      <c r="D427">
        <f t="shared" si="37"/>
        <v>2.5</v>
      </c>
      <c r="E427" s="212" t="str">
        <f t="shared" si="38"/>
        <v>Digitalisation Re-opener</v>
      </c>
      <c r="G427" s="43" t="str">
        <f t="shared" si="39"/>
        <v>£m 23/24 prices</v>
      </c>
      <c r="H427" s="43" t="str">
        <f t="shared" si="40"/>
        <v>Non-operational capex</v>
      </c>
      <c r="AU427" s="143">
        <f t="shared" si="36"/>
        <v>0</v>
      </c>
      <c r="AV427" s="54">
        <f t="shared" si="36"/>
        <v>0</v>
      </c>
      <c r="AW427" s="54">
        <f t="shared" si="36"/>
        <v>0</v>
      </c>
      <c r="AX427" s="54">
        <f t="shared" si="36"/>
        <v>0</v>
      </c>
      <c r="AY427" s="185">
        <f t="shared" si="36"/>
        <v>0</v>
      </c>
      <c r="AZ427"/>
      <c r="BA427" s="44" t="str">
        <f t="shared" ca="1" si="43"/>
        <v>VariantAllowances</v>
      </c>
      <c r="BB427" s="44" t="str">
        <f t="shared" si="41"/>
        <v>TO variant allowances</v>
      </c>
      <c r="BC427" s="44" t="str">
        <f t="shared" si="42"/>
        <v>Variant allowances allocation to totex categories</v>
      </c>
    </row>
    <row r="428" spans="4:55">
      <c r="D428">
        <f t="shared" si="37"/>
        <v>2.5</v>
      </c>
      <c r="E428" s="212" t="str">
        <f t="shared" si="38"/>
        <v>Digitalisation Re-opener</v>
      </c>
      <c r="G428" s="43" t="str">
        <f t="shared" si="39"/>
        <v>£m 23/24 prices</v>
      </c>
      <c r="H428" s="43" t="str">
        <f t="shared" si="40"/>
        <v>Non-load (opex)</v>
      </c>
      <c r="AU428" s="143">
        <f t="shared" ref="AU428:AY437" si="44">INDEX(AU$8:AU$50,MATCH($E428,$E$8:$E$50,0))*AU168</f>
        <v>0</v>
      </c>
      <c r="AV428" s="54">
        <f t="shared" si="44"/>
        <v>0</v>
      </c>
      <c r="AW428" s="54">
        <f t="shared" si="44"/>
        <v>0</v>
      </c>
      <c r="AX428" s="54">
        <f t="shared" si="44"/>
        <v>0</v>
      </c>
      <c r="AY428" s="185">
        <f t="shared" si="44"/>
        <v>0</v>
      </c>
      <c r="AZ428"/>
      <c r="BA428" s="44" t="str">
        <f t="shared" ca="1" si="43"/>
        <v>VariantAllowances</v>
      </c>
      <c r="BB428" s="44" t="str">
        <f t="shared" si="41"/>
        <v>TO variant allowances</v>
      </c>
      <c r="BC428" s="44" t="str">
        <f t="shared" si="42"/>
        <v>Variant allowances allocation to totex categories</v>
      </c>
    </row>
    <row r="429" spans="4:55">
      <c r="D429">
        <f t="shared" si="37"/>
        <v>2.5</v>
      </c>
      <c r="E429" s="201" t="str">
        <f t="shared" si="38"/>
        <v>Digitalisation Re-opener</v>
      </c>
      <c r="F429" s="225"/>
      <c r="G429" s="202" t="str">
        <f t="shared" si="39"/>
        <v>£m 23/24 prices</v>
      </c>
      <c r="H429" s="202" t="str">
        <f t="shared" si="40"/>
        <v>Indirects (opex)</v>
      </c>
      <c r="I429" s="202"/>
      <c r="J429" s="202"/>
      <c r="K429" s="202"/>
      <c r="L429" s="202"/>
      <c r="M429" s="202"/>
      <c r="N429" s="202"/>
      <c r="O429" s="202"/>
      <c r="P429" s="202"/>
      <c r="Q429" s="202"/>
      <c r="R429" s="202"/>
      <c r="S429" s="202"/>
      <c r="T429" s="202"/>
      <c r="U429" s="202"/>
      <c r="V429" s="202"/>
      <c r="W429" s="202"/>
      <c r="X429" s="202"/>
      <c r="Y429" s="202"/>
      <c r="Z429" s="202"/>
      <c r="AA429" s="202"/>
      <c r="AB429" s="202"/>
      <c r="AC429" s="202"/>
      <c r="AD429" s="202"/>
      <c r="AE429" s="202"/>
      <c r="AF429" s="202"/>
      <c r="AG429" s="202"/>
      <c r="AH429" s="202"/>
      <c r="AI429" s="202"/>
      <c r="AJ429" s="202"/>
      <c r="AK429" s="202"/>
      <c r="AL429" s="202"/>
      <c r="AM429" s="202"/>
      <c r="AN429" s="202"/>
      <c r="AO429" s="202"/>
      <c r="AP429" s="202"/>
      <c r="AQ429" s="202"/>
      <c r="AR429" s="202"/>
      <c r="AS429" s="202"/>
      <c r="AT429" s="203"/>
      <c r="AU429" s="232">
        <f t="shared" si="44"/>
        <v>0</v>
      </c>
      <c r="AV429" s="233">
        <f t="shared" si="44"/>
        <v>0</v>
      </c>
      <c r="AW429" s="233">
        <f t="shared" si="44"/>
        <v>0</v>
      </c>
      <c r="AX429" s="233">
        <f t="shared" si="44"/>
        <v>0</v>
      </c>
      <c r="AY429" s="234">
        <f t="shared" si="44"/>
        <v>0</v>
      </c>
      <c r="AZ429"/>
      <c r="BA429" s="44" t="str">
        <f t="shared" ca="1" si="43"/>
        <v>VariantAllowances</v>
      </c>
      <c r="BB429" s="44" t="str">
        <f t="shared" si="41"/>
        <v>TO variant allowances</v>
      </c>
      <c r="BC429" s="44" t="str">
        <f t="shared" si="42"/>
        <v>Variant allowances allocation to totex categories</v>
      </c>
    </row>
    <row r="430" spans="4:55">
      <c r="D430">
        <f t="shared" si="37"/>
        <v>2.5</v>
      </c>
      <c r="E430" s="195" t="str">
        <f t="shared" si="38"/>
        <v>Coordinated Adjustment Mechanism Re-opener</v>
      </c>
      <c r="F430" s="221"/>
      <c r="G430" s="196" t="str">
        <f t="shared" si="39"/>
        <v>£m 23/24 prices</v>
      </c>
      <c r="H430" s="196" t="str">
        <f t="shared" si="40"/>
        <v>Load related capex</v>
      </c>
      <c r="I430" s="196"/>
      <c r="J430" s="196"/>
      <c r="K430" s="196"/>
      <c r="L430" s="196"/>
      <c r="M430" s="196"/>
      <c r="N430" s="196"/>
      <c r="O430" s="196"/>
      <c r="P430" s="196"/>
      <c r="Q430" s="196"/>
      <c r="R430" s="196"/>
      <c r="S430" s="196"/>
      <c r="T430" s="196"/>
      <c r="U430" s="196"/>
      <c r="V430" s="196"/>
      <c r="W430" s="196"/>
      <c r="X430" s="196"/>
      <c r="Y430" s="196"/>
      <c r="Z430" s="196"/>
      <c r="AA430" s="196"/>
      <c r="AB430" s="196"/>
      <c r="AC430" s="196"/>
      <c r="AD430" s="196"/>
      <c r="AE430" s="196"/>
      <c r="AF430" s="196"/>
      <c r="AG430" s="196"/>
      <c r="AH430" s="196"/>
      <c r="AI430" s="196"/>
      <c r="AJ430" s="196"/>
      <c r="AK430" s="196"/>
      <c r="AL430" s="196"/>
      <c r="AM430" s="196"/>
      <c r="AN430" s="196"/>
      <c r="AO430" s="196"/>
      <c r="AP430" s="196"/>
      <c r="AQ430" s="196"/>
      <c r="AR430" s="196"/>
      <c r="AS430" s="196"/>
      <c r="AT430" s="197"/>
      <c r="AU430" s="229">
        <f t="shared" si="44"/>
        <v>0</v>
      </c>
      <c r="AV430" s="230">
        <f t="shared" si="44"/>
        <v>0</v>
      </c>
      <c r="AW430" s="230">
        <f t="shared" si="44"/>
        <v>0</v>
      </c>
      <c r="AX430" s="230">
        <f t="shared" si="44"/>
        <v>0</v>
      </c>
      <c r="AY430" s="231">
        <f t="shared" si="44"/>
        <v>0</v>
      </c>
      <c r="AZ430"/>
      <c r="BA430" s="44" t="str">
        <f t="shared" ca="1" si="43"/>
        <v>VariantAllowances</v>
      </c>
      <c r="BB430" s="44" t="str">
        <f t="shared" si="41"/>
        <v>TO variant allowances</v>
      </c>
      <c r="BC430" s="44" t="str">
        <f t="shared" si="42"/>
        <v>Variant allowances allocation to totex categories</v>
      </c>
    </row>
    <row r="431" spans="4:55">
      <c r="D431">
        <f t="shared" si="37"/>
        <v>2.5</v>
      </c>
      <c r="E431" s="212" t="str">
        <f t="shared" si="38"/>
        <v>Coordinated Adjustment Mechanism Re-opener</v>
      </c>
      <c r="G431" s="43" t="str">
        <f t="shared" si="39"/>
        <v>£m 23/24 prices</v>
      </c>
      <c r="H431" s="43" t="str">
        <f t="shared" si="40"/>
        <v>Asset replacement capex</v>
      </c>
      <c r="AU431" s="143">
        <f t="shared" si="44"/>
        <v>0</v>
      </c>
      <c r="AV431" s="54">
        <f t="shared" si="44"/>
        <v>0</v>
      </c>
      <c r="AW431" s="54">
        <f t="shared" si="44"/>
        <v>0</v>
      </c>
      <c r="AX431" s="54">
        <f t="shared" si="44"/>
        <v>0</v>
      </c>
      <c r="AY431" s="185">
        <f t="shared" si="44"/>
        <v>0</v>
      </c>
      <c r="AZ431"/>
      <c r="BA431" s="44" t="str">
        <f t="shared" ca="1" si="43"/>
        <v>VariantAllowances</v>
      </c>
      <c r="BB431" s="44" t="str">
        <f t="shared" si="41"/>
        <v>TO variant allowances</v>
      </c>
      <c r="BC431" s="44" t="str">
        <f t="shared" si="42"/>
        <v>Variant allowances allocation to totex categories</v>
      </c>
    </row>
    <row r="432" spans="4:55">
      <c r="D432">
        <f t="shared" si="37"/>
        <v>2.5</v>
      </c>
      <c r="E432" s="212" t="str">
        <f t="shared" si="38"/>
        <v>Coordinated Adjustment Mechanism Re-opener</v>
      </c>
      <c r="G432" s="43" t="str">
        <f t="shared" si="39"/>
        <v>£m 23/24 prices</v>
      </c>
      <c r="H432" s="43" t="str">
        <f t="shared" si="40"/>
        <v>Other capex</v>
      </c>
      <c r="AU432" s="143">
        <f t="shared" si="44"/>
        <v>0</v>
      </c>
      <c r="AV432" s="54">
        <f t="shared" si="44"/>
        <v>0</v>
      </c>
      <c r="AW432" s="54">
        <f t="shared" si="44"/>
        <v>0</v>
      </c>
      <c r="AX432" s="54">
        <f t="shared" si="44"/>
        <v>0</v>
      </c>
      <c r="AY432" s="185">
        <f t="shared" si="44"/>
        <v>0</v>
      </c>
      <c r="AZ432"/>
      <c r="BA432" s="44" t="str">
        <f t="shared" ca="1" si="43"/>
        <v>VariantAllowances</v>
      </c>
      <c r="BB432" s="44" t="str">
        <f t="shared" si="41"/>
        <v>TO variant allowances</v>
      </c>
      <c r="BC432" s="44" t="str">
        <f t="shared" si="42"/>
        <v>Variant allowances allocation to totex categories</v>
      </c>
    </row>
    <row r="433" spans="4:55">
      <c r="D433">
        <f t="shared" si="37"/>
        <v>2.5</v>
      </c>
      <c r="E433" s="212" t="str">
        <f t="shared" si="38"/>
        <v>Coordinated Adjustment Mechanism Re-opener</v>
      </c>
      <c r="G433" s="43" t="str">
        <f t="shared" si="39"/>
        <v>£m 23/24 prices</v>
      </c>
      <c r="H433" s="43" t="str">
        <f t="shared" si="40"/>
        <v>Non-operational capex</v>
      </c>
      <c r="AU433" s="143">
        <f t="shared" si="44"/>
        <v>0</v>
      </c>
      <c r="AV433" s="54">
        <f t="shared" si="44"/>
        <v>0</v>
      </c>
      <c r="AW433" s="54">
        <f t="shared" si="44"/>
        <v>0</v>
      </c>
      <c r="AX433" s="54">
        <f t="shared" si="44"/>
        <v>0</v>
      </c>
      <c r="AY433" s="185">
        <f t="shared" si="44"/>
        <v>0</v>
      </c>
      <c r="AZ433"/>
      <c r="BA433" s="44" t="str">
        <f t="shared" ca="1" si="43"/>
        <v>VariantAllowances</v>
      </c>
      <c r="BB433" s="44" t="str">
        <f t="shared" si="41"/>
        <v>TO variant allowances</v>
      </c>
      <c r="BC433" s="44" t="str">
        <f t="shared" si="42"/>
        <v>Variant allowances allocation to totex categories</v>
      </c>
    </row>
    <row r="434" spans="4:55">
      <c r="D434">
        <f t="shared" si="37"/>
        <v>2.5</v>
      </c>
      <c r="E434" s="212" t="str">
        <f t="shared" si="38"/>
        <v>Coordinated Adjustment Mechanism Re-opener</v>
      </c>
      <c r="G434" s="43" t="str">
        <f t="shared" si="39"/>
        <v>£m 23/24 prices</v>
      </c>
      <c r="H434" s="43" t="str">
        <f t="shared" si="40"/>
        <v>Non-load (opex)</v>
      </c>
      <c r="AU434" s="143">
        <f t="shared" si="44"/>
        <v>0</v>
      </c>
      <c r="AV434" s="54">
        <f t="shared" si="44"/>
        <v>0</v>
      </c>
      <c r="AW434" s="54">
        <f t="shared" si="44"/>
        <v>0</v>
      </c>
      <c r="AX434" s="54">
        <f t="shared" si="44"/>
        <v>0</v>
      </c>
      <c r="AY434" s="185">
        <f t="shared" si="44"/>
        <v>0</v>
      </c>
      <c r="AZ434"/>
      <c r="BA434" s="44" t="str">
        <f t="shared" ca="1" si="43"/>
        <v>VariantAllowances</v>
      </c>
      <c r="BB434" s="44" t="str">
        <f t="shared" si="41"/>
        <v>TO variant allowances</v>
      </c>
      <c r="BC434" s="44" t="str">
        <f t="shared" si="42"/>
        <v>Variant allowances allocation to totex categories</v>
      </c>
    </row>
    <row r="435" spans="4:55">
      <c r="D435">
        <f t="shared" si="37"/>
        <v>2.5</v>
      </c>
      <c r="E435" s="201" t="str">
        <f t="shared" si="38"/>
        <v>Coordinated Adjustment Mechanism Re-opener</v>
      </c>
      <c r="F435" s="225"/>
      <c r="G435" s="202" t="str">
        <f t="shared" si="39"/>
        <v>£m 23/24 prices</v>
      </c>
      <c r="H435" s="202" t="str">
        <f t="shared" si="40"/>
        <v>Indirects (opex)</v>
      </c>
      <c r="I435" s="202"/>
      <c r="J435" s="202"/>
      <c r="K435" s="202"/>
      <c r="L435" s="202"/>
      <c r="M435" s="202"/>
      <c r="N435" s="202"/>
      <c r="O435" s="202"/>
      <c r="P435" s="202"/>
      <c r="Q435" s="202"/>
      <c r="R435" s="202"/>
      <c r="S435" s="202"/>
      <c r="T435" s="202"/>
      <c r="U435" s="202"/>
      <c r="V435" s="202"/>
      <c r="W435" s="202"/>
      <c r="X435" s="202"/>
      <c r="Y435" s="202"/>
      <c r="Z435" s="202"/>
      <c r="AA435" s="202"/>
      <c r="AB435" s="202"/>
      <c r="AC435" s="202"/>
      <c r="AD435" s="202"/>
      <c r="AE435" s="202"/>
      <c r="AF435" s="202"/>
      <c r="AG435" s="202"/>
      <c r="AH435" s="202"/>
      <c r="AI435" s="202"/>
      <c r="AJ435" s="202"/>
      <c r="AK435" s="202"/>
      <c r="AL435" s="202"/>
      <c r="AM435" s="202"/>
      <c r="AN435" s="202"/>
      <c r="AO435" s="202"/>
      <c r="AP435" s="202"/>
      <c r="AQ435" s="202"/>
      <c r="AR435" s="202"/>
      <c r="AS435" s="202"/>
      <c r="AT435" s="203"/>
      <c r="AU435" s="232">
        <f t="shared" si="44"/>
        <v>0</v>
      </c>
      <c r="AV435" s="233">
        <f t="shared" si="44"/>
        <v>0</v>
      </c>
      <c r="AW435" s="233">
        <f t="shared" si="44"/>
        <v>0</v>
      </c>
      <c r="AX435" s="233">
        <f t="shared" si="44"/>
        <v>0</v>
      </c>
      <c r="AY435" s="234">
        <f t="shared" si="44"/>
        <v>0</v>
      </c>
      <c r="AZ435"/>
      <c r="BA435" s="44" t="str">
        <f t="shared" ca="1" si="43"/>
        <v>VariantAllowances</v>
      </c>
      <c r="BB435" s="44" t="str">
        <f t="shared" si="41"/>
        <v>TO variant allowances</v>
      </c>
      <c r="BC435" s="44" t="str">
        <f t="shared" si="42"/>
        <v>Variant allowances allocation to totex categories</v>
      </c>
    </row>
    <row r="436" spans="4:55">
      <c r="D436">
        <f t="shared" si="37"/>
        <v>1</v>
      </c>
      <c r="E436" s="195" t="str">
        <f t="shared" si="38"/>
        <v>Bacton terminal site redevelopment Price Control Deliverable</v>
      </c>
      <c r="F436" s="221"/>
      <c r="G436" s="196" t="str">
        <f t="shared" si="39"/>
        <v>£m 23/24 prices</v>
      </c>
      <c r="H436" s="196" t="str">
        <f t="shared" si="40"/>
        <v>Load related capex</v>
      </c>
      <c r="I436" s="196"/>
      <c r="J436" s="196"/>
      <c r="K436" s="196"/>
      <c r="L436" s="196"/>
      <c r="M436" s="196"/>
      <c r="N436" s="196"/>
      <c r="O436" s="196"/>
      <c r="P436" s="196"/>
      <c r="Q436" s="196"/>
      <c r="R436" s="196"/>
      <c r="S436" s="196"/>
      <c r="T436" s="196"/>
      <c r="U436" s="196"/>
      <c r="V436" s="196"/>
      <c r="W436" s="196"/>
      <c r="X436" s="196"/>
      <c r="Y436" s="196"/>
      <c r="Z436" s="196"/>
      <c r="AA436" s="196"/>
      <c r="AB436" s="196"/>
      <c r="AC436" s="196"/>
      <c r="AD436" s="196"/>
      <c r="AE436" s="196"/>
      <c r="AF436" s="196"/>
      <c r="AG436" s="196"/>
      <c r="AH436" s="196"/>
      <c r="AI436" s="196"/>
      <c r="AJ436" s="196"/>
      <c r="AK436" s="196"/>
      <c r="AL436" s="196"/>
      <c r="AM436" s="196"/>
      <c r="AN436" s="196"/>
      <c r="AO436" s="196"/>
      <c r="AP436" s="196"/>
      <c r="AQ436" s="196"/>
      <c r="AR436" s="196"/>
      <c r="AS436" s="196"/>
      <c r="AT436" s="197"/>
      <c r="AU436" s="229">
        <f t="shared" si="44"/>
        <v>0</v>
      </c>
      <c r="AV436" s="230">
        <f t="shared" si="44"/>
        <v>0</v>
      </c>
      <c r="AW436" s="230">
        <f t="shared" si="44"/>
        <v>0</v>
      </c>
      <c r="AX436" s="230">
        <f t="shared" si="44"/>
        <v>0</v>
      </c>
      <c r="AY436" s="231">
        <f t="shared" si="44"/>
        <v>0</v>
      </c>
      <c r="AZ436"/>
      <c r="BA436" s="44" t="str">
        <f t="shared" ca="1" si="43"/>
        <v>VariantAllowances</v>
      </c>
      <c r="BB436" s="44" t="str">
        <f t="shared" si="41"/>
        <v>TO variant allowances</v>
      </c>
      <c r="BC436" s="44" t="str">
        <f t="shared" si="42"/>
        <v>Variant allowances allocation to totex categories</v>
      </c>
    </row>
    <row r="437" spans="4:55">
      <c r="D437">
        <f t="shared" si="37"/>
        <v>1</v>
      </c>
      <c r="E437" s="212" t="str">
        <f t="shared" si="38"/>
        <v>Bacton terminal site redevelopment Price Control Deliverable</v>
      </c>
      <c r="G437" s="43" t="str">
        <f t="shared" si="39"/>
        <v>£m 23/24 prices</v>
      </c>
      <c r="H437" s="43" t="str">
        <f t="shared" si="40"/>
        <v>Asset replacement capex</v>
      </c>
      <c r="AU437" s="143">
        <f t="shared" si="44"/>
        <v>0</v>
      </c>
      <c r="AV437" s="54">
        <f t="shared" si="44"/>
        <v>0</v>
      </c>
      <c r="AW437" s="54">
        <f t="shared" si="44"/>
        <v>0</v>
      </c>
      <c r="AX437" s="54">
        <f t="shared" si="44"/>
        <v>0</v>
      </c>
      <c r="AY437" s="185">
        <f t="shared" si="44"/>
        <v>0</v>
      </c>
      <c r="AZ437"/>
      <c r="BA437" s="44" t="str">
        <f t="shared" ca="1" si="43"/>
        <v>VariantAllowances</v>
      </c>
      <c r="BB437" s="44" t="str">
        <f t="shared" si="41"/>
        <v>TO variant allowances</v>
      </c>
      <c r="BC437" s="44" t="str">
        <f t="shared" si="42"/>
        <v>Variant allowances allocation to totex categories</v>
      </c>
    </row>
    <row r="438" spans="4:55">
      <c r="D438">
        <f t="shared" si="37"/>
        <v>1</v>
      </c>
      <c r="E438" s="212" t="str">
        <f t="shared" si="38"/>
        <v>Bacton terminal site redevelopment Price Control Deliverable</v>
      </c>
      <c r="G438" s="43" t="str">
        <f t="shared" si="39"/>
        <v>£m 23/24 prices</v>
      </c>
      <c r="H438" s="43" t="str">
        <f t="shared" si="40"/>
        <v>Other capex</v>
      </c>
      <c r="AU438" s="143">
        <f t="shared" ref="AU438:AY447" si="45">INDEX(AU$8:AU$50,MATCH($E438,$E$8:$E$50,0))*AU178</f>
        <v>0</v>
      </c>
      <c r="AV438" s="54">
        <f t="shared" si="45"/>
        <v>0</v>
      </c>
      <c r="AW438" s="54">
        <f t="shared" si="45"/>
        <v>0</v>
      </c>
      <c r="AX438" s="54">
        <f t="shared" si="45"/>
        <v>0</v>
      </c>
      <c r="AY438" s="185">
        <f t="shared" si="45"/>
        <v>0</v>
      </c>
      <c r="AZ438"/>
      <c r="BA438" s="44" t="str">
        <f t="shared" ca="1" si="43"/>
        <v>VariantAllowances</v>
      </c>
      <c r="BB438" s="44" t="str">
        <f t="shared" si="41"/>
        <v>TO variant allowances</v>
      </c>
      <c r="BC438" s="44" t="str">
        <f t="shared" si="42"/>
        <v>Variant allowances allocation to totex categories</v>
      </c>
    </row>
    <row r="439" spans="4:55">
      <c r="D439">
        <f t="shared" si="37"/>
        <v>1</v>
      </c>
      <c r="E439" s="212" t="str">
        <f t="shared" si="38"/>
        <v>Bacton terminal site redevelopment Price Control Deliverable</v>
      </c>
      <c r="G439" s="43" t="str">
        <f t="shared" si="39"/>
        <v>£m 23/24 prices</v>
      </c>
      <c r="H439" s="43" t="str">
        <f t="shared" si="40"/>
        <v>Non-operational capex</v>
      </c>
      <c r="AU439" s="143">
        <f t="shared" si="45"/>
        <v>0</v>
      </c>
      <c r="AV439" s="54">
        <f t="shared" si="45"/>
        <v>0</v>
      </c>
      <c r="AW439" s="54">
        <f t="shared" si="45"/>
        <v>0</v>
      </c>
      <c r="AX439" s="54">
        <f t="shared" si="45"/>
        <v>0</v>
      </c>
      <c r="AY439" s="185">
        <f t="shared" si="45"/>
        <v>0</v>
      </c>
      <c r="AZ439"/>
      <c r="BA439" s="44" t="str">
        <f t="shared" ca="1" si="43"/>
        <v>VariantAllowances</v>
      </c>
      <c r="BB439" s="44" t="str">
        <f t="shared" si="41"/>
        <v>TO variant allowances</v>
      </c>
      <c r="BC439" s="44" t="str">
        <f t="shared" si="42"/>
        <v>Variant allowances allocation to totex categories</v>
      </c>
    </row>
    <row r="440" spans="4:55">
      <c r="D440">
        <f t="shared" si="37"/>
        <v>1</v>
      </c>
      <c r="E440" s="212" t="str">
        <f t="shared" si="38"/>
        <v>Bacton terminal site redevelopment Price Control Deliverable</v>
      </c>
      <c r="G440" s="43" t="str">
        <f t="shared" si="39"/>
        <v>£m 23/24 prices</v>
      </c>
      <c r="H440" s="43" t="str">
        <f t="shared" si="40"/>
        <v>Non-load (opex)</v>
      </c>
      <c r="AU440" s="143">
        <f t="shared" si="45"/>
        <v>0</v>
      </c>
      <c r="AV440" s="54">
        <f t="shared" si="45"/>
        <v>0</v>
      </c>
      <c r="AW440" s="54">
        <f t="shared" si="45"/>
        <v>0</v>
      </c>
      <c r="AX440" s="54">
        <f t="shared" si="45"/>
        <v>0</v>
      </c>
      <c r="AY440" s="185">
        <f t="shared" si="45"/>
        <v>0</v>
      </c>
      <c r="AZ440"/>
      <c r="BA440" s="44" t="str">
        <f t="shared" ca="1" si="43"/>
        <v>VariantAllowances</v>
      </c>
      <c r="BB440" s="44" t="str">
        <f t="shared" si="41"/>
        <v>TO variant allowances</v>
      </c>
      <c r="BC440" s="44" t="str">
        <f t="shared" si="42"/>
        <v>Variant allowances allocation to totex categories</v>
      </c>
    </row>
    <row r="441" spans="4:55">
      <c r="D441">
        <f t="shared" si="37"/>
        <v>1</v>
      </c>
      <c r="E441" s="201" t="str">
        <f t="shared" si="38"/>
        <v>Bacton terminal site redevelopment Price Control Deliverable</v>
      </c>
      <c r="F441" s="225"/>
      <c r="G441" s="202" t="str">
        <f t="shared" si="39"/>
        <v>£m 23/24 prices</v>
      </c>
      <c r="H441" s="202" t="str">
        <f t="shared" si="40"/>
        <v>Indirects (opex)</v>
      </c>
      <c r="I441" s="202"/>
      <c r="J441" s="202"/>
      <c r="K441" s="202"/>
      <c r="L441" s="202"/>
      <c r="M441" s="202"/>
      <c r="N441" s="202"/>
      <c r="O441" s="202"/>
      <c r="P441" s="202"/>
      <c r="Q441" s="202"/>
      <c r="R441" s="202"/>
      <c r="S441" s="202"/>
      <c r="T441" s="202"/>
      <c r="U441" s="202"/>
      <c r="V441" s="202"/>
      <c r="W441" s="202"/>
      <c r="X441" s="202"/>
      <c r="Y441" s="202"/>
      <c r="Z441" s="202"/>
      <c r="AA441" s="202"/>
      <c r="AB441" s="202"/>
      <c r="AC441" s="202"/>
      <c r="AD441" s="202"/>
      <c r="AE441" s="202"/>
      <c r="AF441" s="202"/>
      <c r="AG441" s="202"/>
      <c r="AH441" s="202"/>
      <c r="AI441" s="202"/>
      <c r="AJ441" s="202"/>
      <c r="AK441" s="202"/>
      <c r="AL441" s="202"/>
      <c r="AM441" s="202"/>
      <c r="AN441" s="202"/>
      <c r="AO441" s="202"/>
      <c r="AP441" s="202"/>
      <c r="AQ441" s="202"/>
      <c r="AR441" s="202"/>
      <c r="AS441" s="202"/>
      <c r="AT441" s="203"/>
      <c r="AU441" s="232">
        <f t="shared" si="45"/>
        <v>0</v>
      </c>
      <c r="AV441" s="233">
        <f t="shared" si="45"/>
        <v>0</v>
      </c>
      <c r="AW441" s="233">
        <f t="shared" si="45"/>
        <v>0</v>
      </c>
      <c r="AX441" s="233">
        <f t="shared" si="45"/>
        <v>0</v>
      </c>
      <c r="AY441" s="234">
        <f t="shared" si="45"/>
        <v>0</v>
      </c>
      <c r="AZ441"/>
      <c r="BA441" s="44" t="str">
        <f t="shared" ca="1" si="43"/>
        <v>VariantAllowances</v>
      </c>
      <c r="BB441" s="44" t="str">
        <f t="shared" si="41"/>
        <v>TO variant allowances</v>
      </c>
      <c r="BC441" s="44" t="str">
        <f t="shared" si="42"/>
        <v>Variant allowances allocation to totex categories</v>
      </c>
    </row>
    <row r="442" spans="4:55">
      <c r="D442">
        <f t="shared" si="37"/>
        <v>1</v>
      </c>
      <c r="E442" s="195" t="str">
        <f t="shared" si="38"/>
        <v>Compressor Emissions Price Control Deliverable</v>
      </c>
      <c r="F442" s="221"/>
      <c r="G442" s="196" t="str">
        <f t="shared" si="39"/>
        <v>£m 23/24 prices</v>
      </c>
      <c r="H442" s="196" t="str">
        <f t="shared" si="40"/>
        <v>Load related capex</v>
      </c>
      <c r="I442" s="196"/>
      <c r="J442" s="196"/>
      <c r="K442" s="196"/>
      <c r="L442" s="196"/>
      <c r="M442" s="196"/>
      <c r="N442" s="196"/>
      <c r="O442" s="196"/>
      <c r="P442" s="196"/>
      <c r="Q442" s="196"/>
      <c r="R442" s="196"/>
      <c r="S442" s="196"/>
      <c r="T442" s="196"/>
      <c r="U442" s="196"/>
      <c r="V442" s="196"/>
      <c r="W442" s="196"/>
      <c r="X442" s="196"/>
      <c r="Y442" s="196"/>
      <c r="Z442" s="196"/>
      <c r="AA442" s="196"/>
      <c r="AB442" s="196"/>
      <c r="AC442" s="196"/>
      <c r="AD442" s="196"/>
      <c r="AE442" s="196"/>
      <c r="AF442" s="196"/>
      <c r="AG442" s="196"/>
      <c r="AH442" s="196"/>
      <c r="AI442" s="196"/>
      <c r="AJ442" s="196"/>
      <c r="AK442" s="196"/>
      <c r="AL442" s="196"/>
      <c r="AM442" s="196"/>
      <c r="AN442" s="196"/>
      <c r="AO442" s="196"/>
      <c r="AP442" s="196"/>
      <c r="AQ442" s="196"/>
      <c r="AR442" s="196"/>
      <c r="AS442" s="196"/>
      <c r="AT442" s="197"/>
      <c r="AU442" s="229">
        <f t="shared" si="45"/>
        <v>0</v>
      </c>
      <c r="AV442" s="230">
        <f t="shared" si="45"/>
        <v>0</v>
      </c>
      <c r="AW442" s="230">
        <f t="shared" si="45"/>
        <v>0</v>
      </c>
      <c r="AX442" s="230">
        <f t="shared" si="45"/>
        <v>0</v>
      </c>
      <c r="AY442" s="231">
        <f t="shared" si="45"/>
        <v>0</v>
      </c>
      <c r="AZ442"/>
      <c r="BA442" s="44" t="str">
        <f t="shared" ca="1" si="43"/>
        <v>VariantAllowances</v>
      </c>
      <c r="BB442" s="44" t="str">
        <f t="shared" si="41"/>
        <v>TO variant allowances</v>
      </c>
      <c r="BC442" s="44" t="str">
        <f t="shared" si="42"/>
        <v>Variant allowances allocation to totex categories</v>
      </c>
    </row>
    <row r="443" spans="4:55">
      <c r="D443">
        <f t="shared" si="37"/>
        <v>1</v>
      </c>
      <c r="E443" s="212" t="str">
        <f t="shared" si="38"/>
        <v>Compressor Emissions Price Control Deliverable</v>
      </c>
      <c r="G443" s="43" t="str">
        <f t="shared" si="39"/>
        <v>£m 23/24 prices</v>
      </c>
      <c r="H443" s="43" t="str">
        <f t="shared" si="40"/>
        <v>Asset replacement capex</v>
      </c>
      <c r="AU443" s="143">
        <f t="shared" si="45"/>
        <v>0</v>
      </c>
      <c r="AV443" s="54">
        <f t="shared" si="45"/>
        <v>0</v>
      </c>
      <c r="AW443" s="54">
        <f t="shared" si="45"/>
        <v>0</v>
      </c>
      <c r="AX443" s="54">
        <f t="shared" si="45"/>
        <v>0</v>
      </c>
      <c r="AY443" s="185">
        <f t="shared" si="45"/>
        <v>0</v>
      </c>
      <c r="AZ443"/>
      <c r="BA443" s="44" t="str">
        <f t="shared" ca="1" si="43"/>
        <v>VariantAllowances</v>
      </c>
      <c r="BB443" s="44" t="str">
        <f t="shared" si="41"/>
        <v>TO variant allowances</v>
      </c>
      <c r="BC443" s="44" t="str">
        <f t="shared" si="42"/>
        <v>Variant allowances allocation to totex categories</v>
      </c>
    </row>
    <row r="444" spans="4:55">
      <c r="D444">
        <f t="shared" si="37"/>
        <v>1</v>
      </c>
      <c r="E444" s="212" t="str">
        <f t="shared" si="38"/>
        <v>Compressor Emissions Price Control Deliverable</v>
      </c>
      <c r="G444" s="43" t="str">
        <f t="shared" si="39"/>
        <v>£m 23/24 prices</v>
      </c>
      <c r="H444" s="43" t="str">
        <f t="shared" si="40"/>
        <v>Other capex</v>
      </c>
      <c r="AU444" s="143">
        <f t="shared" si="45"/>
        <v>0</v>
      </c>
      <c r="AV444" s="54">
        <f t="shared" si="45"/>
        <v>0</v>
      </c>
      <c r="AW444" s="54">
        <f t="shared" si="45"/>
        <v>0</v>
      </c>
      <c r="AX444" s="54">
        <f t="shared" si="45"/>
        <v>0</v>
      </c>
      <c r="AY444" s="185">
        <f t="shared" si="45"/>
        <v>0</v>
      </c>
      <c r="AZ444"/>
      <c r="BA444" s="44" t="str">
        <f t="shared" ca="1" si="43"/>
        <v>VariantAllowances</v>
      </c>
      <c r="BB444" s="44" t="str">
        <f t="shared" si="41"/>
        <v>TO variant allowances</v>
      </c>
      <c r="BC444" s="44" t="str">
        <f t="shared" si="42"/>
        <v>Variant allowances allocation to totex categories</v>
      </c>
    </row>
    <row r="445" spans="4:55">
      <c r="D445">
        <f t="shared" si="37"/>
        <v>1</v>
      </c>
      <c r="E445" s="212" t="str">
        <f t="shared" si="38"/>
        <v>Compressor Emissions Price Control Deliverable</v>
      </c>
      <c r="G445" s="43" t="str">
        <f t="shared" si="39"/>
        <v>£m 23/24 prices</v>
      </c>
      <c r="H445" s="43" t="str">
        <f t="shared" si="40"/>
        <v>Non-operational capex</v>
      </c>
      <c r="AU445" s="143">
        <f t="shared" si="45"/>
        <v>0</v>
      </c>
      <c r="AV445" s="54">
        <f t="shared" si="45"/>
        <v>0</v>
      </c>
      <c r="AW445" s="54">
        <f t="shared" si="45"/>
        <v>0</v>
      </c>
      <c r="AX445" s="54">
        <f t="shared" si="45"/>
        <v>0</v>
      </c>
      <c r="AY445" s="185">
        <f t="shared" si="45"/>
        <v>0</v>
      </c>
      <c r="AZ445"/>
      <c r="BA445" s="44" t="str">
        <f t="shared" ca="1" si="43"/>
        <v>VariantAllowances</v>
      </c>
      <c r="BB445" s="44" t="str">
        <f t="shared" si="41"/>
        <v>TO variant allowances</v>
      </c>
      <c r="BC445" s="44" t="str">
        <f t="shared" si="42"/>
        <v>Variant allowances allocation to totex categories</v>
      </c>
    </row>
    <row r="446" spans="4:55">
      <c r="D446">
        <f t="shared" si="37"/>
        <v>1</v>
      </c>
      <c r="E446" s="212" t="str">
        <f t="shared" si="38"/>
        <v>Compressor Emissions Price Control Deliverable</v>
      </c>
      <c r="G446" s="43" t="str">
        <f t="shared" si="39"/>
        <v>£m 23/24 prices</v>
      </c>
      <c r="H446" s="43" t="str">
        <f t="shared" si="40"/>
        <v>Non-load (opex)</v>
      </c>
      <c r="AU446" s="143">
        <f t="shared" si="45"/>
        <v>0</v>
      </c>
      <c r="AV446" s="54">
        <f t="shared" si="45"/>
        <v>0</v>
      </c>
      <c r="AW446" s="54">
        <f t="shared" si="45"/>
        <v>0</v>
      </c>
      <c r="AX446" s="54">
        <f t="shared" si="45"/>
        <v>0</v>
      </c>
      <c r="AY446" s="185">
        <f t="shared" si="45"/>
        <v>0</v>
      </c>
      <c r="AZ446"/>
      <c r="BA446" s="44" t="str">
        <f t="shared" ca="1" si="43"/>
        <v>VariantAllowances</v>
      </c>
      <c r="BB446" s="44" t="str">
        <f t="shared" si="41"/>
        <v>TO variant allowances</v>
      </c>
      <c r="BC446" s="44" t="str">
        <f t="shared" si="42"/>
        <v>Variant allowances allocation to totex categories</v>
      </c>
    </row>
    <row r="447" spans="4:55">
      <c r="D447">
        <f t="shared" si="37"/>
        <v>1</v>
      </c>
      <c r="E447" s="201" t="str">
        <f t="shared" si="38"/>
        <v>Compressor Emissions Price Control Deliverable</v>
      </c>
      <c r="F447" s="225"/>
      <c r="G447" s="202" t="str">
        <f t="shared" si="39"/>
        <v>£m 23/24 prices</v>
      </c>
      <c r="H447" s="202" t="str">
        <f t="shared" si="40"/>
        <v>Indirects (opex)</v>
      </c>
      <c r="I447" s="202"/>
      <c r="J447" s="202"/>
      <c r="K447" s="202"/>
      <c r="L447" s="202"/>
      <c r="M447" s="202"/>
      <c r="N447" s="202"/>
      <c r="O447" s="202"/>
      <c r="P447" s="202"/>
      <c r="Q447" s="202"/>
      <c r="R447" s="202"/>
      <c r="S447" s="202"/>
      <c r="T447" s="202"/>
      <c r="U447" s="202"/>
      <c r="V447" s="202"/>
      <c r="W447" s="202"/>
      <c r="X447" s="202"/>
      <c r="Y447" s="202"/>
      <c r="Z447" s="202"/>
      <c r="AA447" s="202"/>
      <c r="AB447" s="202"/>
      <c r="AC447" s="202"/>
      <c r="AD447" s="202"/>
      <c r="AE447" s="202"/>
      <c r="AF447" s="202"/>
      <c r="AG447" s="202"/>
      <c r="AH447" s="202"/>
      <c r="AI447" s="202"/>
      <c r="AJ447" s="202"/>
      <c r="AK447" s="202"/>
      <c r="AL447" s="202"/>
      <c r="AM447" s="202"/>
      <c r="AN447" s="202"/>
      <c r="AO447" s="202"/>
      <c r="AP447" s="202"/>
      <c r="AQ447" s="202"/>
      <c r="AR447" s="202"/>
      <c r="AS447" s="202"/>
      <c r="AT447" s="203"/>
      <c r="AU447" s="232">
        <f t="shared" si="45"/>
        <v>0</v>
      </c>
      <c r="AV447" s="233">
        <f t="shared" si="45"/>
        <v>0</v>
      </c>
      <c r="AW447" s="233">
        <f t="shared" si="45"/>
        <v>0</v>
      </c>
      <c r="AX447" s="233">
        <f t="shared" si="45"/>
        <v>0</v>
      </c>
      <c r="AY447" s="234">
        <f t="shared" si="45"/>
        <v>0</v>
      </c>
      <c r="AZ447"/>
      <c r="BA447" s="44" t="str">
        <f t="shared" ca="1" si="43"/>
        <v>VariantAllowances</v>
      </c>
      <c r="BB447" s="44" t="str">
        <f t="shared" si="41"/>
        <v>TO variant allowances</v>
      </c>
      <c r="BC447" s="44" t="str">
        <f t="shared" si="42"/>
        <v>Variant allowances allocation to totex categories</v>
      </c>
    </row>
    <row r="448" spans="4:55">
      <c r="D448">
        <f t="shared" si="37"/>
        <v>1</v>
      </c>
      <c r="E448" s="195" t="str">
        <f t="shared" si="38"/>
        <v>Funded Incremental Obligated Capacity Price Control Deliverable</v>
      </c>
      <c r="F448" s="221"/>
      <c r="G448" s="196" t="str">
        <f t="shared" si="39"/>
        <v>£m 23/24 prices</v>
      </c>
      <c r="H448" s="196" t="str">
        <f t="shared" si="40"/>
        <v>Load related capex</v>
      </c>
      <c r="I448" s="196"/>
      <c r="J448" s="196"/>
      <c r="K448" s="196"/>
      <c r="L448" s="196"/>
      <c r="M448" s="196"/>
      <c r="N448" s="196"/>
      <c r="O448" s="196"/>
      <c r="P448" s="196"/>
      <c r="Q448" s="196"/>
      <c r="R448" s="196"/>
      <c r="S448" s="196"/>
      <c r="T448" s="196"/>
      <c r="U448" s="196"/>
      <c r="V448" s="196"/>
      <c r="W448" s="196"/>
      <c r="X448" s="196"/>
      <c r="Y448" s="196"/>
      <c r="Z448" s="196"/>
      <c r="AA448" s="196"/>
      <c r="AB448" s="196"/>
      <c r="AC448" s="196"/>
      <c r="AD448" s="196"/>
      <c r="AE448" s="196"/>
      <c r="AF448" s="196"/>
      <c r="AG448" s="196"/>
      <c r="AH448" s="196"/>
      <c r="AI448" s="196"/>
      <c r="AJ448" s="196"/>
      <c r="AK448" s="196"/>
      <c r="AL448" s="196"/>
      <c r="AM448" s="196"/>
      <c r="AN448" s="196"/>
      <c r="AO448" s="196"/>
      <c r="AP448" s="196"/>
      <c r="AQ448" s="196"/>
      <c r="AR448" s="196"/>
      <c r="AS448" s="196"/>
      <c r="AT448" s="197"/>
      <c r="AU448" s="229">
        <f t="shared" ref="AU448:AY457" si="46">INDEX(AU$8:AU$50,MATCH($E448,$E$8:$E$50,0))*AU188</f>
        <v>0</v>
      </c>
      <c r="AV448" s="230">
        <f t="shared" si="46"/>
        <v>0</v>
      </c>
      <c r="AW448" s="230">
        <f t="shared" si="46"/>
        <v>0</v>
      </c>
      <c r="AX448" s="230">
        <f t="shared" si="46"/>
        <v>0</v>
      </c>
      <c r="AY448" s="231">
        <f t="shared" si="46"/>
        <v>0</v>
      </c>
      <c r="AZ448"/>
      <c r="BA448" s="44" t="str">
        <f t="shared" ca="1" si="43"/>
        <v>VariantAllowances</v>
      </c>
      <c r="BB448" s="44" t="str">
        <f t="shared" si="41"/>
        <v>TO variant allowances</v>
      </c>
      <c r="BC448" s="44" t="str">
        <f t="shared" si="42"/>
        <v>Variant allowances allocation to totex categories</v>
      </c>
    </row>
    <row r="449" spans="4:55">
      <c r="D449">
        <f t="shared" si="37"/>
        <v>1</v>
      </c>
      <c r="E449" s="212" t="str">
        <f t="shared" si="38"/>
        <v>Funded Incremental Obligated Capacity Price Control Deliverable</v>
      </c>
      <c r="G449" s="43" t="str">
        <f t="shared" si="39"/>
        <v>£m 23/24 prices</v>
      </c>
      <c r="H449" s="43" t="str">
        <f t="shared" si="40"/>
        <v>Asset replacement capex</v>
      </c>
      <c r="AU449" s="143">
        <f t="shared" si="46"/>
        <v>0</v>
      </c>
      <c r="AV449" s="54">
        <f t="shared" si="46"/>
        <v>0</v>
      </c>
      <c r="AW449" s="54">
        <f t="shared" si="46"/>
        <v>0</v>
      </c>
      <c r="AX449" s="54">
        <f t="shared" si="46"/>
        <v>0</v>
      </c>
      <c r="AY449" s="185">
        <f t="shared" si="46"/>
        <v>0</v>
      </c>
      <c r="AZ449"/>
      <c r="BA449" s="44" t="str">
        <f t="shared" ca="1" si="43"/>
        <v>VariantAllowances</v>
      </c>
      <c r="BB449" s="44" t="str">
        <f t="shared" si="41"/>
        <v>TO variant allowances</v>
      </c>
      <c r="BC449" s="44" t="str">
        <f t="shared" si="42"/>
        <v>Variant allowances allocation to totex categories</v>
      </c>
    </row>
    <row r="450" spans="4:55">
      <c r="D450">
        <f t="shared" si="37"/>
        <v>1</v>
      </c>
      <c r="E450" s="212" t="str">
        <f t="shared" si="38"/>
        <v>Funded Incremental Obligated Capacity Price Control Deliverable</v>
      </c>
      <c r="G450" s="43" t="str">
        <f t="shared" si="39"/>
        <v>£m 23/24 prices</v>
      </c>
      <c r="H450" s="43" t="str">
        <f t="shared" si="40"/>
        <v>Other capex</v>
      </c>
      <c r="AU450" s="143">
        <f t="shared" si="46"/>
        <v>0</v>
      </c>
      <c r="AV450" s="54">
        <f t="shared" si="46"/>
        <v>0</v>
      </c>
      <c r="AW450" s="54">
        <f t="shared" si="46"/>
        <v>0</v>
      </c>
      <c r="AX450" s="54">
        <f t="shared" si="46"/>
        <v>0</v>
      </c>
      <c r="AY450" s="185">
        <f t="shared" si="46"/>
        <v>0</v>
      </c>
      <c r="AZ450"/>
      <c r="BA450" s="44" t="str">
        <f t="shared" ca="1" si="43"/>
        <v>VariantAllowances</v>
      </c>
      <c r="BB450" s="44" t="str">
        <f t="shared" si="41"/>
        <v>TO variant allowances</v>
      </c>
      <c r="BC450" s="44" t="str">
        <f t="shared" si="42"/>
        <v>Variant allowances allocation to totex categories</v>
      </c>
    </row>
    <row r="451" spans="4:55">
      <c r="D451">
        <f t="shared" si="37"/>
        <v>1</v>
      </c>
      <c r="E451" s="212" t="str">
        <f t="shared" si="38"/>
        <v>Funded Incremental Obligated Capacity Price Control Deliverable</v>
      </c>
      <c r="G451" s="43" t="str">
        <f t="shared" si="39"/>
        <v>£m 23/24 prices</v>
      </c>
      <c r="H451" s="43" t="str">
        <f t="shared" si="40"/>
        <v>Non-operational capex</v>
      </c>
      <c r="AU451" s="143">
        <f t="shared" si="46"/>
        <v>0</v>
      </c>
      <c r="AV451" s="54">
        <f t="shared" si="46"/>
        <v>0</v>
      </c>
      <c r="AW451" s="54">
        <f t="shared" si="46"/>
        <v>0</v>
      </c>
      <c r="AX451" s="54">
        <f t="shared" si="46"/>
        <v>0</v>
      </c>
      <c r="AY451" s="185">
        <f t="shared" si="46"/>
        <v>0</v>
      </c>
      <c r="AZ451"/>
      <c r="BA451" s="44" t="str">
        <f t="shared" ca="1" si="43"/>
        <v>VariantAllowances</v>
      </c>
      <c r="BB451" s="44" t="str">
        <f t="shared" si="41"/>
        <v>TO variant allowances</v>
      </c>
      <c r="BC451" s="44" t="str">
        <f t="shared" si="42"/>
        <v>Variant allowances allocation to totex categories</v>
      </c>
    </row>
    <row r="452" spans="4:55">
      <c r="D452">
        <f t="shared" si="37"/>
        <v>1</v>
      </c>
      <c r="E452" s="212" t="str">
        <f t="shared" si="38"/>
        <v>Funded Incremental Obligated Capacity Price Control Deliverable</v>
      </c>
      <c r="G452" s="43" t="str">
        <f t="shared" si="39"/>
        <v>£m 23/24 prices</v>
      </c>
      <c r="H452" s="43" t="str">
        <f t="shared" si="40"/>
        <v>Non-load (opex)</v>
      </c>
      <c r="AU452" s="143">
        <f t="shared" si="46"/>
        <v>0</v>
      </c>
      <c r="AV452" s="54">
        <f t="shared" si="46"/>
        <v>0</v>
      </c>
      <c r="AW452" s="54">
        <f t="shared" si="46"/>
        <v>0</v>
      </c>
      <c r="AX452" s="54">
        <f t="shared" si="46"/>
        <v>0</v>
      </c>
      <c r="AY452" s="185">
        <f t="shared" si="46"/>
        <v>0</v>
      </c>
      <c r="AZ452"/>
      <c r="BA452" s="44" t="str">
        <f t="shared" ca="1" si="43"/>
        <v>VariantAllowances</v>
      </c>
      <c r="BB452" s="44" t="str">
        <f t="shared" si="41"/>
        <v>TO variant allowances</v>
      </c>
      <c r="BC452" s="44" t="str">
        <f t="shared" si="42"/>
        <v>Variant allowances allocation to totex categories</v>
      </c>
    </row>
    <row r="453" spans="4:55">
      <c r="D453">
        <f t="shared" si="37"/>
        <v>1</v>
      </c>
      <c r="E453" s="201" t="str">
        <f t="shared" si="38"/>
        <v>Funded Incremental Obligated Capacity Price Control Deliverable</v>
      </c>
      <c r="F453" s="225"/>
      <c r="G453" s="202" t="str">
        <f t="shared" si="39"/>
        <v>£m 23/24 prices</v>
      </c>
      <c r="H453" s="202" t="str">
        <f t="shared" si="40"/>
        <v>Indirects (opex)</v>
      </c>
      <c r="I453" s="202"/>
      <c r="J453" s="202"/>
      <c r="K453" s="202"/>
      <c r="L453" s="202"/>
      <c r="M453" s="202"/>
      <c r="N453" s="202"/>
      <c r="O453" s="202"/>
      <c r="P453" s="202"/>
      <c r="Q453" s="202"/>
      <c r="R453" s="202"/>
      <c r="S453" s="202"/>
      <c r="T453" s="202"/>
      <c r="U453" s="202"/>
      <c r="V453" s="202"/>
      <c r="W453" s="202"/>
      <c r="X453" s="202"/>
      <c r="Y453" s="202"/>
      <c r="Z453" s="202"/>
      <c r="AA453" s="202"/>
      <c r="AB453" s="202"/>
      <c r="AC453" s="202"/>
      <c r="AD453" s="202"/>
      <c r="AE453" s="202"/>
      <c r="AF453" s="202"/>
      <c r="AG453" s="202"/>
      <c r="AH453" s="202"/>
      <c r="AI453" s="202"/>
      <c r="AJ453" s="202"/>
      <c r="AK453" s="202"/>
      <c r="AL453" s="202"/>
      <c r="AM453" s="202"/>
      <c r="AN453" s="202"/>
      <c r="AO453" s="202"/>
      <c r="AP453" s="202"/>
      <c r="AQ453" s="202"/>
      <c r="AR453" s="202"/>
      <c r="AS453" s="202"/>
      <c r="AT453" s="203"/>
      <c r="AU453" s="232">
        <f t="shared" si="46"/>
        <v>0</v>
      </c>
      <c r="AV453" s="233">
        <f t="shared" si="46"/>
        <v>0</v>
      </c>
      <c r="AW453" s="233">
        <f t="shared" si="46"/>
        <v>0</v>
      </c>
      <c r="AX453" s="233">
        <f t="shared" si="46"/>
        <v>0</v>
      </c>
      <c r="AY453" s="234">
        <f t="shared" si="46"/>
        <v>0</v>
      </c>
      <c r="AZ453"/>
      <c r="BA453" s="44" t="str">
        <f t="shared" ca="1" si="43"/>
        <v>VariantAllowances</v>
      </c>
      <c r="BB453" s="44" t="str">
        <f t="shared" si="41"/>
        <v>TO variant allowances</v>
      </c>
      <c r="BC453" s="44" t="str">
        <f t="shared" si="42"/>
        <v>Variant allowances allocation to totex categories</v>
      </c>
    </row>
    <row r="454" spans="4:55">
      <c r="D454">
        <f t="shared" si="37"/>
        <v>2</v>
      </c>
      <c r="E454" s="195" t="str">
        <f t="shared" si="38"/>
        <v>Funded Incremental Obligated Capacity Price Control Deliverable - Re-Opener Element</v>
      </c>
      <c r="F454" s="221"/>
      <c r="G454" s="196" t="str">
        <f t="shared" si="39"/>
        <v>£m 23/24 prices</v>
      </c>
      <c r="H454" s="196" t="str">
        <f t="shared" si="40"/>
        <v>Load related capex</v>
      </c>
      <c r="I454" s="196"/>
      <c r="J454" s="196"/>
      <c r="K454" s="196"/>
      <c r="L454" s="196"/>
      <c r="M454" s="196"/>
      <c r="N454" s="196"/>
      <c r="O454" s="196"/>
      <c r="P454" s="196"/>
      <c r="Q454" s="196"/>
      <c r="R454" s="196"/>
      <c r="S454" s="196"/>
      <c r="T454" s="196"/>
      <c r="U454" s="196"/>
      <c r="V454" s="196"/>
      <c r="W454" s="196"/>
      <c r="X454" s="196"/>
      <c r="Y454" s="196"/>
      <c r="Z454" s="196"/>
      <c r="AA454" s="196"/>
      <c r="AB454" s="196"/>
      <c r="AC454" s="196"/>
      <c r="AD454" s="196"/>
      <c r="AE454" s="196"/>
      <c r="AF454" s="196"/>
      <c r="AG454" s="196"/>
      <c r="AH454" s="196"/>
      <c r="AI454" s="196"/>
      <c r="AJ454" s="196"/>
      <c r="AK454" s="196"/>
      <c r="AL454" s="196"/>
      <c r="AM454" s="196"/>
      <c r="AN454" s="196"/>
      <c r="AO454" s="196"/>
      <c r="AP454" s="196"/>
      <c r="AQ454" s="196"/>
      <c r="AR454" s="196"/>
      <c r="AS454" s="196"/>
      <c r="AT454" s="197"/>
      <c r="AU454" s="229">
        <f t="shared" si="46"/>
        <v>0</v>
      </c>
      <c r="AV454" s="230">
        <f t="shared" si="46"/>
        <v>0</v>
      </c>
      <c r="AW454" s="230">
        <f t="shared" si="46"/>
        <v>0</v>
      </c>
      <c r="AX454" s="230">
        <f t="shared" si="46"/>
        <v>0</v>
      </c>
      <c r="AY454" s="231">
        <f t="shared" si="46"/>
        <v>0</v>
      </c>
      <c r="AZ454"/>
      <c r="BA454" s="44" t="str">
        <f t="shared" ca="1" si="43"/>
        <v>VariantAllowances</v>
      </c>
      <c r="BB454" s="44" t="str">
        <f t="shared" si="41"/>
        <v>TO variant allowances</v>
      </c>
      <c r="BC454" s="44" t="str">
        <f t="shared" si="42"/>
        <v>Variant allowances allocation to totex categories</v>
      </c>
    </row>
    <row r="455" spans="4:55">
      <c r="D455">
        <f t="shared" si="37"/>
        <v>2</v>
      </c>
      <c r="E455" s="212" t="str">
        <f t="shared" si="38"/>
        <v>Funded Incremental Obligated Capacity Price Control Deliverable - Re-Opener Element</v>
      </c>
      <c r="G455" s="43" t="str">
        <f t="shared" si="39"/>
        <v>£m 23/24 prices</v>
      </c>
      <c r="H455" s="43" t="str">
        <f t="shared" si="40"/>
        <v>Asset replacement capex</v>
      </c>
      <c r="AU455" s="143">
        <f t="shared" si="46"/>
        <v>0</v>
      </c>
      <c r="AV455" s="54">
        <f t="shared" si="46"/>
        <v>0</v>
      </c>
      <c r="AW455" s="54">
        <f t="shared" si="46"/>
        <v>0</v>
      </c>
      <c r="AX455" s="54">
        <f t="shared" si="46"/>
        <v>0</v>
      </c>
      <c r="AY455" s="185">
        <f t="shared" si="46"/>
        <v>0</v>
      </c>
      <c r="AZ455"/>
      <c r="BA455" s="44" t="str">
        <f t="shared" ca="1" si="43"/>
        <v>VariantAllowances</v>
      </c>
      <c r="BB455" s="44" t="str">
        <f t="shared" si="41"/>
        <v>TO variant allowances</v>
      </c>
      <c r="BC455" s="44" t="str">
        <f t="shared" si="42"/>
        <v>Variant allowances allocation to totex categories</v>
      </c>
    </row>
    <row r="456" spans="4:55">
      <c r="D456">
        <f t="shared" si="37"/>
        <v>2</v>
      </c>
      <c r="E456" s="212" t="str">
        <f t="shared" si="38"/>
        <v>Funded Incremental Obligated Capacity Price Control Deliverable - Re-Opener Element</v>
      </c>
      <c r="G456" s="43" t="str">
        <f t="shared" si="39"/>
        <v>£m 23/24 prices</v>
      </c>
      <c r="H456" s="43" t="str">
        <f t="shared" si="40"/>
        <v>Other capex</v>
      </c>
      <c r="AU456" s="143">
        <f t="shared" si="46"/>
        <v>0</v>
      </c>
      <c r="AV456" s="54">
        <f t="shared" si="46"/>
        <v>0</v>
      </c>
      <c r="AW456" s="54">
        <f t="shared" si="46"/>
        <v>0</v>
      </c>
      <c r="AX456" s="54">
        <f t="shared" si="46"/>
        <v>0</v>
      </c>
      <c r="AY456" s="185">
        <f t="shared" si="46"/>
        <v>0</v>
      </c>
      <c r="AZ456"/>
      <c r="BA456" s="44" t="str">
        <f t="shared" ca="1" si="43"/>
        <v>VariantAllowances</v>
      </c>
      <c r="BB456" s="44" t="str">
        <f t="shared" si="41"/>
        <v>TO variant allowances</v>
      </c>
      <c r="BC456" s="44" t="str">
        <f t="shared" si="42"/>
        <v>Variant allowances allocation to totex categories</v>
      </c>
    </row>
    <row r="457" spans="4:55">
      <c r="D457">
        <f t="shared" si="37"/>
        <v>2</v>
      </c>
      <c r="E457" s="212" t="str">
        <f t="shared" si="38"/>
        <v>Funded Incremental Obligated Capacity Price Control Deliverable - Re-Opener Element</v>
      </c>
      <c r="G457" s="43" t="str">
        <f t="shared" si="39"/>
        <v>£m 23/24 prices</v>
      </c>
      <c r="H457" s="43" t="str">
        <f t="shared" si="40"/>
        <v>Non-operational capex</v>
      </c>
      <c r="AU457" s="143">
        <f t="shared" si="46"/>
        <v>0</v>
      </c>
      <c r="AV457" s="54">
        <f t="shared" si="46"/>
        <v>0</v>
      </c>
      <c r="AW457" s="54">
        <f t="shared" si="46"/>
        <v>0</v>
      </c>
      <c r="AX457" s="54">
        <f t="shared" si="46"/>
        <v>0</v>
      </c>
      <c r="AY457" s="185">
        <f t="shared" si="46"/>
        <v>0</v>
      </c>
      <c r="AZ457"/>
      <c r="BA457" s="44" t="str">
        <f t="shared" ca="1" si="43"/>
        <v>VariantAllowances</v>
      </c>
      <c r="BB457" s="44" t="str">
        <f t="shared" si="41"/>
        <v>TO variant allowances</v>
      </c>
      <c r="BC457" s="44" t="str">
        <f t="shared" si="42"/>
        <v>Variant allowances allocation to totex categories</v>
      </c>
    </row>
    <row r="458" spans="4:55">
      <c r="D458">
        <f t="shared" si="37"/>
        <v>2</v>
      </c>
      <c r="E458" s="212" t="str">
        <f t="shared" si="38"/>
        <v>Funded Incremental Obligated Capacity Price Control Deliverable - Re-Opener Element</v>
      </c>
      <c r="G458" s="43" t="str">
        <f t="shared" si="39"/>
        <v>£m 23/24 prices</v>
      </c>
      <c r="H458" s="43" t="str">
        <f t="shared" si="40"/>
        <v>Non-load (opex)</v>
      </c>
      <c r="AU458" s="143">
        <f t="shared" ref="AU458:AY467" si="47">INDEX(AU$8:AU$50,MATCH($E458,$E$8:$E$50,0))*AU198</f>
        <v>0</v>
      </c>
      <c r="AV458" s="54">
        <f t="shared" si="47"/>
        <v>0</v>
      </c>
      <c r="AW458" s="54">
        <f t="shared" si="47"/>
        <v>0</v>
      </c>
      <c r="AX458" s="54">
        <f t="shared" si="47"/>
        <v>0</v>
      </c>
      <c r="AY458" s="185">
        <f t="shared" si="47"/>
        <v>0</v>
      </c>
      <c r="AZ458"/>
      <c r="BA458" s="44" t="str">
        <f t="shared" ca="1" si="43"/>
        <v>VariantAllowances</v>
      </c>
      <c r="BB458" s="44" t="str">
        <f t="shared" si="41"/>
        <v>TO variant allowances</v>
      </c>
      <c r="BC458" s="44" t="str">
        <f t="shared" si="42"/>
        <v>Variant allowances allocation to totex categories</v>
      </c>
    </row>
    <row r="459" spans="4:55">
      <c r="D459">
        <f t="shared" si="37"/>
        <v>2</v>
      </c>
      <c r="E459" s="201" t="str">
        <f t="shared" si="38"/>
        <v>Funded Incremental Obligated Capacity Price Control Deliverable - Re-Opener Element</v>
      </c>
      <c r="F459" s="225"/>
      <c r="G459" s="202" t="str">
        <f t="shared" si="39"/>
        <v>£m 23/24 prices</v>
      </c>
      <c r="H459" s="202" t="str">
        <f t="shared" si="40"/>
        <v>Indirects (opex)</v>
      </c>
      <c r="I459" s="202"/>
      <c r="J459" s="202"/>
      <c r="K459" s="202"/>
      <c r="L459" s="202"/>
      <c r="M459" s="202"/>
      <c r="N459" s="202"/>
      <c r="O459" s="202"/>
      <c r="P459" s="202"/>
      <c r="Q459" s="202"/>
      <c r="R459" s="202"/>
      <c r="S459" s="202"/>
      <c r="T459" s="202"/>
      <c r="U459" s="202"/>
      <c r="V459" s="202"/>
      <c r="W459" s="202"/>
      <c r="X459" s="202"/>
      <c r="Y459" s="202"/>
      <c r="Z459" s="202"/>
      <c r="AA459" s="202"/>
      <c r="AB459" s="202"/>
      <c r="AC459" s="202"/>
      <c r="AD459" s="202"/>
      <c r="AE459" s="202"/>
      <c r="AF459" s="202"/>
      <c r="AG459" s="202"/>
      <c r="AH459" s="202"/>
      <c r="AI459" s="202"/>
      <c r="AJ459" s="202"/>
      <c r="AK459" s="202"/>
      <c r="AL459" s="202"/>
      <c r="AM459" s="202"/>
      <c r="AN459" s="202"/>
      <c r="AO459" s="202"/>
      <c r="AP459" s="202"/>
      <c r="AQ459" s="202"/>
      <c r="AR459" s="202"/>
      <c r="AS459" s="202"/>
      <c r="AT459" s="203"/>
      <c r="AU459" s="232">
        <f t="shared" si="47"/>
        <v>0</v>
      </c>
      <c r="AV459" s="233">
        <f t="shared" si="47"/>
        <v>0</v>
      </c>
      <c r="AW459" s="233">
        <f t="shared" si="47"/>
        <v>0</v>
      </c>
      <c r="AX459" s="233">
        <f t="shared" si="47"/>
        <v>0</v>
      </c>
      <c r="AY459" s="234">
        <f t="shared" si="47"/>
        <v>0</v>
      </c>
      <c r="AZ459"/>
      <c r="BA459" s="44" t="str">
        <f t="shared" ca="1" si="43"/>
        <v>VariantAllowances</v>
      </c>
      <c r="BB459" s="44" t="str">
        <f t="shared" si="41"/>
        <v>TO variant allowances</v>
      </c>
      <c r="BC459" s="44" t="str">
        <f t="shared" si="42"/>
        <v>Variant allowances allocation to totex categories</v>
      </c>
    </row>
    <row r="460" spans="4:55">
      <c r="D460">
        <f t="shared" si="37"/>
        <v>2</v>
      </c>
      <c r="E460" s="195" t="str">
        <f t="shared" si="38"/>
        <v>Asset health Re-Opener</v>
      </c>
      <c r="F460" s="221"/>
      <c r="G460" s="196" t="str">
        <f t="shared" si="39"/>
        <v>£m 23/24 prices</v>
      </c>
      <c r="H460" s="196" t="str">
        <f t="shared" si="40"/>
        <v>Load related capex</v>
      </c>
      <c r="I460" s="196"/>
      <c r="J460" s="196"/>
      <c r="K460" s="196"/>
      <c r="L460" s="196"/>
      <c r="M460" s="196"/>
      <c r="N460" s="196"/>
      <c r="O460" s="196"/>
      <c r="P460" s="196"/>
      <c r="Q460" s="196"/>
      <c r="R460" s="196"/>
      <c r="S460" s="196"/>
      <c r="T460" s="196"/>
      <c r="U460" s="196"/>
      <c r="V460" s="196"/>
      <c r="W460" s="196"/>
      <c r="X460" s="196"/>
      <c r="Y460" s="196"/>
      <c r="Z460" s="196"/>
      <c r="AA460" s="196"/>
      <c r="AB460" s="196"/>
      <c r="AC460" s="196"/>
      <c r="AD460" s="196"/>
      <c r="AE460" s="196"/>
      <c r="AF460" s="196"/>
      <c r="AG460" s="196"/>
      <c r="AH460" s="196"/>
      <c r="AI460" s="196"/>
      <c r="AJ460" s="196"/>
      <c r="AK460" s="196"/>
      <c r="AL460" s="196"/>
      <c r="AM460" s="196"/>
      <c r="AN460" s="196"/>
      <c r="AO460" s="196"/>
      <c r="AP460" s="196"/>
      <c r="AQ460" s="196"/>
      <c r="AR460" s="196"/>
      <c r="AS460" s="196"/>
      <c r="AT460" s="197"/>
      <c r="AU460" s="229">
        <f t="shared" si="47"/>
        <v>0</v>
      </c>
      <c r="AV460" s="230">
        <f t="shared" si="47"/>
        <v>0</v>
      </c>
      <c r="AW460" s="230">
        <f t="shared" si="47"/>
        <v>0</v>
      </c>
      <c r="AX460" s="230">
        <f t="shared" si="47"/>
        <v>0</v>
      </c>
      <c r="AY460" s="231">
        <f t="shared" si="47"/>
        <v>0</v>
      </c>
      <c r="AZ460"/>
      <c r="BA460" s="44" t="str">
        <f t="shared" ca="1" si="43"/>
        <v>VariantAllowances</v>
      </c>
      <c r="BB460" s="44" t="str">
        <f t="shared" si="41"/>
        <v>TO variant allowances</v>
      </c>
      <c r="BC460" s="44" t="str">
        <f t="shared" si="42"/>
        <v>Variant allowances allocation to totex categories</v>
      </c>
    </row>
    <row r="461" spans="4:55">
      <c r="D461">
        <f t="shared" si="37"/>
        <v>2</v>
      </c>
      <c r="E461" s="212" t="str">
        <f t="shared" si="38"/>
        <v>Asset health Re-Opener</v>
      </c>
      <c r="G461" s="43" t="str">
        <f t="shared" si="39"/>
        <v>£m 23/24 prices</v>
      </c>
      <c r="H461" s="43" t="str">
        <f t="shared" si="40"/>
        <v>Asset replacement capex</v>
      </c>
      <c r="AU461" s="143">
        <f t="shared" si="47"/>
        <v>123.86000000000001</v>
      </c>
      <c r="AV461" s="54">
        <f t="shared" si="47"/>
        <v>118.13</v>
      </c>
      <c r="AW461" s="54">
        <f t="shared" si="47"/>
        <v>83.28</v>
      </c>
      <c r="AX461" s="54">
        <f t="shared" si="47"/>
        <v>76.88</v>
      </c>
      <c r="AY461" s="185">
        <f t="shared" si="47"/>
        <v>46.6</v>
      </c>
      <c r="AZ461"/>
      <c r="BA461" s="44" t="str">
        <f t="shared" ca="1" si="43"/>
        <v>VariantAllowances</v>
      </c>
      <c r="BB461" s="44" t="str">
        <f t="shared" si="41"/>
        <v>TO variant allowances</v>
      </c>
      <c r="BC461" s="44" t="str">
        <f t="shared" si="42"/>
        <v>Variant allowances allocation to totex categories</v>
      </c>
    </row>
    <row r="462" spans="4:55">
      <c r="D462">
        <f t="shared" si="37"/>
        <v>2</v>
      </c>
      <c r="E462" s="212" t="str">
        <f t="shared" si="38"/>
        <v>Asset health Re-Opener</v>
      </c>
      <c r="G462" s="43" t="str">
        <f t="shared" si="39"/>
        <v>£m 23/24 prices</v>
      </c>
      <c r="H462" s="43" t="str">
        <f t="shared" si="40"/>
        <v>Other capex</v>
      </c>
      <c r="AU462" s="143">
        <f t="shared" si="47"/>
        <v>0</v>
      </c>
      <c r="AV462" s="54">
        <f t="shared" si="47"/>
        <v>0</v>
      </c>
      <c r="AW462" s="54">
        <f t="shared" si="47"/>
        <v>0</v>
      </c>
      <c r="AX462" s="54">
        <f t="shared" si="47"/>
        <v>0</v>
      </c>
      <c r="AY462" s="185">
        <f t="shared" si="47"/>
        <v>0</v>
      </c>
      <c r="AZ462"/>
      <c r="BA462" s="44" t="str">
        <f t="shared" ca="1" si="43"/>
        <v>VariantAllowances</v>
      </c>
      <c r="BB462" s="44" t="str">
        <f t="shared" si="41"/>
        <v>TO variant allowances</v>
      </c>
      <c r="BC462" s="44" t="str">
        <f t="shared" si="42"/>
        <v>Variant allowances allocation to totex categories</v>
      </c>
    </row>
    <row r="463" spans="4:55">
      <c r="D463">
        <f t="shared" si="37"/>
        <v>2</v>
      </c>
      <c r="E463" s="212" t="str">
        <f t="shared" si="38"/>
        <v>Asset health Re-Opener</v>
      </c>
      <c r="G463" s="43" t="str">
        <f t="shared" si="39"/>
        <v>£m 23/24 prices</v>
      </c>
      <c r="H463" s="43" t="str">
        <f t="shared" si="40"/>
        <v>Non-operational capex</v>
      </c>
      <c r="AU463" s="143">
        <f t="shared" si="47"/>
        <v>0</v>
      </c>
      <c r="AV463" s="54">
        <f t="shared" si="47"/>
        <v>0</v>
      </c>
      <c r="AW463" s="54">
        <f t="shared" si="47"/>
        <v>0</v>
      </c>
      <c r="AX463" s="54">
        <f t="shared" si="47"/>
        <v>0</v>
      </c>
      <c r="AY463" s="185">
        <f t="shared" si="47"/>
        <v>0</v>
      </c>
      <c r="AZ463"/>
      <c r="BA463" s="44" t="str">
        <f t="shared" ca="1" si="43"/>
        <v>VariantAllowances</v>
      </c>
      <c r="BB463" s="44" t="str">
        <f t="shared" si="41"/>
        <v>TO variant allowances</v>
      </c>
      <c r="BC463" s="44" t="str">
        <f t="shared" si="42"/>
        <v>Variant allowances allocation to totex categories</v>
      </c>
    </row>
    <row r="464" spans="4:55">
      <c r="D464">
        <f t="shared" si="37"/>
        <v>2</v>
      </c>
      <c r="E464" s="212" t="str">
        <f t="shared" si="38"/>
        <v>Asset health Re-Opener</v>
      </c>
      <c r="G464" s="43" t="str">
        <f t="shared" si="39"/>
        <v>£m 23/24 prices</v>
      </c>
      <c r="H464" s="43" t="str">
        <f t="shared" si="40"/>
        <v>Non-load (opex)</v>
      </c>
      <c r="AU464" s="143">
        <f t="shared" si="47"/>
        <v>0</v>
      </c>
      <c r="AV464" s="54">
        <f t="shared" si="47"/>
        <v>0</v>
      </c>
      <c r="AW464" s="54">
        <f t="shared" si="47"/>
        <v>0</v>
      </c>
      <c r="AX464" s="54">
        <f t="shared" si="47"/>
        <v>0</v>
      </c>
      <c r="AY464" s="185">
        <f t="shared" si="47"/>
        <v>0</v>
      </c>
      <c r="AZ464"/>
      <c r="BA464" s="44" t="str">
        <f t="shared" ca="1" si="43"/>
        <v>VariantAllowances</v>
      </c>
      <c r="BB464" s="44" t="str">
        <f t="shared" si="41"/>
        <v>TO variant allowances</v>
      </c>
      <c r="BC464" s="44" t="str">
        <f t="shared" si="42"/>
        <v>Variant allowances allocation to totex categories</v>
      </c>
    </row>
    <row r="465" spans="4:55">
      <c r="D465">
        <f t="shared" si="37"/>
        <v>2</v>
      </c>
      <c r="E465" s="201" t="str">
        <f t="shared" si="38"/>
        <v>Asset health Re-Opener</v>
      </c>
      <c r="F465" s="225"/>
      <c r="G465" s="202" t="str">
        <f t="shared" si="39"/>
        <v>£m 23/24 prices</v>
      </c>
      <c r="H465" s="202" t="str">
        <f t="shared" si="40"/>
        <v>Indirects (opex)</v>
      </c>
      <c r="I465" s="202"/>
      <c r="J465" s="202"/>
      <c r="K465" s="202"/>
      <c r="L465" s="202"/>
      <c r="M465" s="202"/>
      <c r="N465" s="202"/>
      <c r="O465" s="202"/>
      <c r="P465" s="202"/>
      <c r="Q465" s="202"/>
      <c r="R465" s="202"/>
      <c r="S465" s="202"/>
      <c r="T465" s="202"/>
      <c r="U465" s="202"/>
      <c r="V465" s="202"/>
      <c r="W465" s="202"/>
      <c r="X465" s="202"/>
      <c r="Y465" s="202"/>
      <c r="Z465" s="202"/>
      <c r="AA465" s="202"/>
      <c r="AB465" s="202"/>
      <c r="AC465" s="202"/>
      <c r="AD465" s="202"/>
      <c r="AE465" s="202"/>
      <c r="AF465" s="202"/>
      <c r="AG465" s="202"/>
      <c r="AH465" s="202"/>
      <c r="AI465" s="202"/>
      <c r="AJ465" s="202"/>
      <c r="AK465" s="202"/>
      <c r="AL465" s="202"/>
      <c r="AM465" s="202"/>
      <c r="AN465" s="202"/>
      <c r="AO465" s="202"/>
      <c r="AP465" s="202"/>
      <c r="AQ465" s="202"/>
      <c r="AR465" s="202"/>
      <c r="AS465" s="202"/>
      <c r="AT465" s="203"/>
      <c r="AU465" s="232">
        <f t="shared" si="47"/>
        <v>0</v>
      </c>
      <c r="AV465" s="233">
        <f t="shared" si="47"/>
        <v>0</v>
      </c>
      <c r="AW465" s="233">
        <f t="shared" si="47"/>
        <v>0</v>
      </c>
      <c r="AX465" s="233">
        <f t="shared" si="47"/>
        <v>0</v>
      </c>
      <c r="AY465" s="234">
        <f t="shared" si="47"/>
        <v>0</v>
      </c>
      <c r="AZ465"/>
      <c r="BA465" s="44" t="str">
        <f t="shared" ca="1" si="43"/>
        <v>VariantAllowances</v>
      </c>
      <c r="BB465" s="44" t="str">
        <f t="shared" si="41"/>
        <v>TO variant allowances</v>
      </c>
      <c r="BC465" s="44" t="str">
        <f t="shared" si="42"/>
        <v>Variant allowances allocation to totex categories</v>
      </c>
    </row>
    <row r="466" spans="4:55">
      <c r="D466">
        <f t="shared" si="37"/>
        <v>1</v>
      </c>
      <c r="E466" s="195" t="str">
        <f t="shared" si="38"/>
        <v>Redundant assets Price Control Deliverable</v>
      </c>
      <c r="F466" s="221"/>
      <c r="G466" s="196" t="str">
        <f t="shared" si="39"/>
        <v>£m 23/24 prices</v>
      </c>
      <c r="H466" s="196" t="str">
        <f t="shared" si="40"/>
        <v>Load related capex</v>
      </c>
      <c r="I466" s="196"/>
      <c r="J466" s="196"/>
      <c r="K466" s="196"/>
      <c r="L466" s="196"/>
      <c r="M466" s="196"/>
      <c r="N466" s="196"/>
      <c r="O466" s="196"/>
      <c r="P466" s="196"/>
      <c r="Q466" s="196"/>
      <c r="R466" s="196"/>
      <c r="S466" s="196"/>
      <c r="T466" s="196"/>
      <c r="U466" s="196"/>
      <c r="V466" s="196"/>
      <c r="W466" s="196"/>
      <c r="X466" s="196"/>
      <c r="Y466" s="196"/>
      <c r="Z466" s="196"/>
      <c r="AA466" s="196"/>
      <c r="AB466" s="196"/>
      <c r="AC466" s="196"/>
      <c r="AD466" s="196"/>
      <c r="AE466" s="196"/>
      <c r="AF466" s="196"/>
      <c r="AG466" s="196"/>
      <c r="AH466" s="196"/>
      <c r="AI466" s="196"/>
      <c r="AJ466" s="196"/>
      <c r="AK466" s="196"/>
      <c r="AL466" s="196"/>
      <c r="AM466" s="196"/>
      <c r="AN466" s="196"/>
      <c r="AO466" s="196"/>
      <c r="AP466" s="196"/>
      <c r="AQ466" s="196"/>
      <c r="AR466" s="196"/>
      <c r="AS466" s="196"/>
      <c r="AT466" s="197"/>
      <c r="AU466" s="229">
        <f t="shared" si="47"/>
        <v>0</v>
      </c>
      <c r="AV466" s="230">
        <f t="shared" si="47"/>
        <v>0</v>
      </c>
      <c r="AW466" s="230">
        <f t="shared" si="47"/>
        <v>0</v>
      </c>
      <c r="AX466" s="230">
        <f t="shared" si="47"/>
        <v>0</v>
      </c>
      <c r="AY466" s="231">
        <f t="shared" si="47"/>
        <v>0</v>
      </c>
      <c r="AZ466"/>
      <c r="BA466" s="44" t="str">
        <f t="shared" ca="1" si="43"/>
        <v>VariantAllowances</v>
      </c>
      <c r="BB466" s="44" t="str">
        <f t="shared" si="41"/>
        <v>TO variant allowances</v>
      </c>
      <c r="BC466" s="44" t="str">
        <f t="shared" si="42"/>
        <v>Variant allowances allocation to totex categories</v>
      </c>
    </row>
    <row r="467" spans="4:55">
      <c r="D467">
        <f t="shared" si="37"/>
        <v>1</v>
      </c>
      <c r="E467" s="212" t="str">
        <f t="shared" si="38"/>
        <v>Redundant assets Price Control Deliverable</v>
      </c>
      <c r="G467" s="43" t="str">
        <f t="shared" si="39"/>
        <v>£m 23/24 prices</v>
      </c>
      <c r="H467" s="43" t="str">
        <f t="shared" si="40"/>
        <v>Asset replacement capex</v>
      </c>
      <c r="AU467" s="143">
        <f t="shared" si="47"/>
        <v>1.1030460275854772</v>
      </c>
      <c r="AV467" s="54">
        <f t="shared" si="47"/>
        <v>2.4835798273719027</v>
      </c>
      <c r="AW467" s="54">
        <f t="shared" si="47"/>
        <v>4.760771522397194</v>
      </c>
      <c r="AX467" s="54">
        <f t="shared" si="47"/>
        <v>6.2800726763229537</v>
      </c>
      <c r="AY467" s="185">
        <f t="shared" si="47"/>
        <v>17.384146947357916</v>
      </c>
      <c r="AZ467"/>
      <c r="BA467" s="44" t="str">
        <f t="shared" ca="1" si="43"/>
        <v>VariantAllowances</v>
      </c>
      <c r="BB467" s="44" t="str">
        <f t="shared" si="41"/>
        <v>TO variant allowances</v>
      </c>
      <c r="BC467" s="44" t="str">
        <f t="shared" si="42"/>
        <v>Variant allowances allocation to totex categories</v>
      </c>
    </row>
    <row r="468" spans="4:55">
      <c r="D468">
        <f t="shared" si="37"/>
        <v>1</v>
      </c>
      <c r="E468" s="212" t="str">
        <f t="shared" si="38"/>
        <v>Redundant assets Price Control Deliverable</v>
      </c>
      <c r="G468" s="43" t="str">
        <f t="shared" si="39"/>
        <v>£m 23/24 prices</v>
      </c>
      <c r="H468" s="43" t="str">
        <f t="shared" si="40"/>
        <v>Other capex</v>
      </c>
      <c r="AU468" s="143">
        <f t="shared" ref="AU468:AY477" si="48">INDEX(AU$8:AU$50,MATCH($E468,$E$8:$E$50,0))*AU208</f>
        <v>0</v>
      </c>
      <c r="AV468" s="54">
        <f t="shared" si="48"/>
        <v>0</v>
      </c>
      <c r="AW468" s="54">
        <f t="shared" si="48"/>
        <v>0</v>
      </c>
      <c r="AX468" s="54">
        <f t="shared" si="48"/>
        <v>0</v>
      </c>
      <c r="AY468" s="185">
        <f t="shared" si="48"/>
        <v>0</v>
      </c>
      <c r="AZ468"/>
      <c r="BA468" s="44" t="str">
        <f t="shared" ca="1" si="43"/>
        <v>VariantAllowances</v>
      </c>
      <c r="BB468" s="44" t="str">
        <f t="shared" si="41"/>
        <v>TO variant allowances</v>
      </c>
      <c r="BC468" s="44" t="str">
        <f t="shared" si="42"/>
        <v>Variant allowances allocation to totex categories</v>
      </c>
    </row>
    <row r="469" spans="4:55">
      <c r="D469">
        <f t="shared" si="37"/>
        <v>1</v>
      </c>
      <c r="E469" s="212" t="str">
        <f t="shared" si="38"/>
        <v>Redundant assets Price Control Deliverable</v>
      </c>
      <c r="G469" s="43" t="str">
        <f t="shared" si="39"/>
        <v>£m 23/24 prices</v>
      </c>
      <c r="H469" s="43" t="str">
        <f t="shared" si="40"/>
        <v>Non-operational capex</v>
      </c>
      <c r="AU469" s="143">
        <f t="shared" si="48"/>
        <v>0</v>
      </c>
      <c r="AV469" s="54">
        <f t="shared" si="48"/>
        <v>0</v>
      </c>
      <c r="AW469" s="54">
        <f t="shared" si="48"/>
        <v>0</v>
      </c>
      <c r="AX469" s="54">
        <f t="shared" si="48"/>
        <v>0</v>
      </c>
      <c r="AY469" s="185">
        <f t="shared" si="48"/>
        <v>0</v>
      </c>
      <c r="AZ469"/>
      <c r="BA469" s="44" t="str">
        <f t="shared" ca="1" si="43"/>
        <v>VariantAllowances</v>
      </c>
      <c r="BB469" s="44" t="str">
        <f t="shared" si="41"/>
        <v>TO variant allowances</v>
      </c>
      <c r="BC469" s="44" t="str">
        <f t="shared" si="42"/>
        <v>Variant allowances allocation to totex categories</v>
      </c>
    </row>
    <row r="470" spans="4:55">
      <c r="D470">
        <f t="shared" si="37"/>
        <v>1</v>
      </c>
      <c r="E470" s="212" t="str">
        <f t="shared" si="38"/>
        <v>Redundant assets Price Control Deliverable</v>
      </c>
      <c r="G470" s="43" t="str">
        <f t="shared" si="39"/>
        <v>£m 23/24 prices</v>
      </c>
      <c r="H470" s="43" t="str">
        <f t="shared" si="40"/>
        <v>Non-load (opex)</v>
      </c>
      <c r="AU470" s="143">
        <f t="shared" si="48"/>
        <v>0</v>
      </c>
      <c r="AV470" s="54">
        <f t="shared" si="48"/>
        <v>0</v>
      </c>
      <c r="AW470" s="54">
        <f t="shared" si="48"/>
        <v>0</v>
      </c>
      <c r="AX470" s="54">
        <f t="shared" si="48"/>
        <v>0</v>
      </c>
      <c r="AY470" s="185">
        <f t="shared" si="48"/>
        <v>0</v>
      </c>
      <c r="AZ470"/>
      <c r="BA470" s="44" t="str">
        <f t="shared" ca="1" si="43"/>
        <v>VariantAllowances</v>
      </c>
      <c r="BB470" s="44" t="str">
        <f t="shared" si="41"/>
        <v>TO variant allowances</v>
      </c>
      <c r="BC470" s="44" t="str">
        <f t="shared" si="42"/>
        <v>Variant allowances allocation to totex categories</v>
      </c>
    </row>
    <row r="471" spans="4:55">
      <c r="D471">
        <f t="shared" si="37"/>
        <v>1</v>
      </c>
      <c r="E471" s="201" t="str">
        <f t="shared" si="38"/>
        <v>Redundant assets Price Control Deliverable</v>
      </c>
      <c r="F471" s="225"/>
      <c r="G471" s="202" t="str">
        <f t="shared" si="39"/>
        <v>£m 23/24 prices</v>
      </c>
      <c r="H471" s="202" t="str">
        <f t="shared" si="40"/>
        <v>Indirects (opex)</v>
      </c>
      <c r="I471" s="202"/>
      <c r="J471" s="202"/>
      <c r="K471" s="202"/>
      <c r="L471" s="202"/>
      <c r="M471" s="202"/>
      <c r="N471" s="202"/>
      <c r="O471" s="202"/>
      <c r="P471" s="202"/>
      <c r="Q471" s="202"/>
      <c r="R471" s="202"/>
      <c r="S471" s="202"/>
      <c r="T471" s="202"/>
      <c r="U471" s="202"/>
      <c r="V471" s="202"/>
      <c r="W471" s="202"/>
      <c r="X471" s="202"/>
      <c r="Y471" s="202"/>
      <c r="Z471" s="202"/>
      <c r="AA471" s="202"/>
      <c r="AB471" s="202"/>
      <c r="AC471" s="202"/>
      <c r="AD471" s="202"/>
      <c r="AE471" s="202"/>
      <c r="AF471" s="202"/>
      <c r="AG471" s="202"/>
      <c r="AH471" s="202"/>
      <c r="AI471" s="202"/>
      <c r="AJ471" s="202"/>
      <c r="AK471" s="202"/>
      <c r="AL471" s="202"/>
      <c r="AM471" s="202"/>
      <c r="AN471" s="202"/>
      <c r="AO471" s="202"/>
      <c r="AP471" s="202"/>
      <c r="AQ471" s="202"/>
      <c r="AR471" s="202"/>
      <c r="AS471" s="202"/>
      <c r="AT471" s="203"/>
      <c r="AU471" s="232">
        <f t="shared" si="48"/>
        <v>0</v>
      </c>
      <c r="AV471" s="233">
        <f t="shared" si="48"/>
        <v>0</v>
      </c>
      <c r="AW471" s="233">
        <f t="shared" si="48"/>
        <v>0</v>
      </c>
      <c r="AX471" s="233">
        <f t="shared" si="48"/>
        <v>0</v>
      </c>
      <c r="AY471" s="234">
        <f t="shared" si="48"/>
        <v>0</v>
      </c>
      <c r="AZ471"/>
      <c r="BA471" s="44" t="str">
        <f t="shared" ca="1" si="43"/>
        <v>VariantAllowances</v>
      </c>
      <c r="BB471" s="44" t="str">
        <f t="shared" si="41"/>
        <v>TO variant allowances</v>
      </c>
      <c r="BC471" s="44" t="str">
        <f t="shared" si="42"/>
        <v>Variant allowances allocation to totex categories</v>
      </c>
    </row>
    <row r="472" spans="4:55">
      <c r="D472">
        <f t="shared" si="37"/>
        <v>2.5</v>
      </c>
      <c r="E472" s="195" t="str">
        <f t="shared" si="38"/>
        <v>Pipeline Diversions Re-opener</v>
      </c>
      <c r="F472" s="221"/>
      <c r="G472" s="196" t="str">
        <f t="shared" si="39"/>
        <v>£m 23/24 prices</v>
      </c>
      <c r="H472" s="196" t="str">
        <f t="shared" si="40"/>
        <v>Load related capex</v>
      </c>
      <c r="I472" s="196"/>
      <c r="J472" s="196"/>
      <c r="K472" s="196"/>
      <c r="L472" s="196"/>
      <c r="M472" s="196"/>
      <c r="N472" s="196"/>
      <c r="O472" s="196"/>
      <c r="P472" s="196"/>
      <c r="Q472" s="196"/>
      <c r="R472" s="196"/>
      <c r="S472" s="196"/>
      <c r="T472" s="196"/>
      <c r="U472" s="196"/>
      <c r="V472" s="196"/>
      <c r="W472" s="196"/>
      <c r="X472" s="196"/>
      <c r="Y472" s="196"/>
      <c r="Z472" s="196"/>
      <c r="AA472" s="196"/>
      <c r="AB472" s="196"/>
      <c r="AC472" s="196"/>
      <c r="AD472" s="196"/>
      <c r="AE472" s="196"/>
      <c r="AF472" s="196"/>
      <c r="AG472" s="196"/>
      <c r="AH472" s="196"/>
      <c r="AI472" s="196"/>
      <c r="AJ472" s="196"/>
      <c r="AK472" s="196"/>
      <c r="AL472" s="196"/>
      <c r="AM472" s="196"/>
      <c r="AN472" s="196"/>
      <c r="AO472" s="196"/>
      <c r="AP472" s="196"/>
      <c r="AQ472" s="196"/>
      <c r="AR472" s="196"/>
      <c r="AS472" s="196"/>
      <c r="AT472" s="197"/>
      <c r="AU472" s="229">
        <f t="shared" si="48"/>
        <v>0</v>
      </c>
      <c r="AV472" s="230">
        <f t="shared" si="48"/>
        <v>0</v>
      </c>
      <c r="AW472" s="230">
        <f t="shared" si="48"/>
        <v>0</v>
      </c>
      <c r="AX472" s="230">
        <f t="shared" si="48"/>
        <v>0</v>
      </c>
      <c r="AY472" s="231">
        <f t="shared" si="48"/>
        <v>0</v>
      </c>
      <c r="AZ472"/>
      <c r="BA472" s="44" t="str">
        <f t="shared" ca="1" si="43"/>
        <v>VariantAllowances</v>
      </c>
      <c r="BB472" s="44" t="str">
        <f t="shared" si="41"/>
        <v>TO variant allowances</v>
      </c>
      <c r="BC472" s="44" t="str">
        <f t="shared" si="42"/>
        <v>Variant allowances allocation to totex categories</v>
      </c>
    </row>
    <row r="473" spans="4:55">
      <c r="D473">
        <f t="shared" si="37"/>
        <v>2.5</v>
      </c>
      <c r="E473" s="212" t="str">
        <f t="shared" si="38"/>
        <v>Pipeline Diversions Re-opener</v>
      </c>
      <c r="G473" s="43" t="str">
        <f t="shared" si="39"/>
        <v>£m 23/24 prices</v>
      </c>
      <c r="H473" s="43" t="str">
        <f t="shared" si="40"/>
        <v>Asset replacement capex</v>
      </c>
      <c r="AU473" s="143">
        <f t="shared" si="48"/>
        <v>0</v>
      </c>
      <c r="AV473" s="54">
        <f t="shared" si="48"/>
        <v>0</v>
      </c>
      <c r="AW473" s="54">
        <f t="shared" si="48"/>
        <v>0</v>
      </c>
      <c r="AX473" s="54">
        <f t="shared" si="48"/>
        <v>0</v>
      </c>
      <c r="AY473" s="185">
        <f t="shared" si="48"/>
        <v>0</v>
      </c>
      <c r="AZ473"/>
      <c r="BA473" s="44" t="str">
        <f t="shared" ca="1" si="43"/>
        <v>VariantAllowances</v>
      </c>
      <c r="BB473" s="44" t="str">
        <f t="shared" si="41"/>
        <v>TO variant allowances</v>
      </c>
      <c r="BC473" s="44" t="str">
        <f t="shared" si="42"/>
        <v>Variant allowances allocation to totex categories</v>
      </c>
    </row>
    <row r="474" spans="4:55">
      <c r="D474">
        <f t="shared" si="37"/>
        <v>2.5</v>
      </c>
      <c r="E474" s="212" t="str">
        <f t="shared" si="38"/>
        <v>Pipeline Diversions Re-opener</v>
      </c>
      <c r="G474" s="43" t="str">
        <f t="shared" si="39"/>
        <v>£m 23/24 prices</v>
      </c>
      <c r="H474" s="43" t="str">
        <f t="shared" si="40"/>
        <v>Other capex</v>
      </c>
      <c r="AU474" s="143">
        <f t="shared" si="48"/>
        <v>0</v>
      </c>
      <c r="AV474" s="54">
        <f t="shared" si="48"/>
        <v>0</v>
      </c>
      <c r="AW474" s="54">
        <f t="shared" si="48"/>
        <v>0</v>
      </c>
      <c r="AX474" s="54">
        <f t="shared" si="48"/>
        <v>0</v>
      </c>
      <c r="AY474" s="185">
        <f t="shared" si="48"/>
        <v>0</v>
      </c>
      <c r="AZ474"/>
      <c r="BA474" s="44" t="str">
        <f t="shared" ca="1" si="43"/>
        <v>VariantAllowances</v>
      </c>
      <c r="BB474" s="44" t="str">
        <f t="shared" si="41"/>
        <v>TO variant allowances</v>
      </c>
      <c r="BC474" s="44" t="str">
        <f t="shared" si="42"/>
        <v>Variant allowances allocation to totex categories</v>
      </c>
    </row>
    <row r="475" spans="4:55">
      <c r="D475">
        <f t="shared" si="37"/>
        <v>2.5</v>
      </c>
      <c r="E475" s="212" t="str">
        <f t="shared" si="38"/>
        <v>Pipeline Diversions Re-opener</v>
      </c>
      <c r="G475" s="43" t="str">
        <f t="shared" si="39"/>
        <v>£m 23/24 prices</v>
      </c>
      <c r="H475" s="43" t="str">
        <f t="shared" si="40"/>
        <v>Non-operational capex</v>
      </c>
      <c r="AU475" s="143">
        <f t="shared" si="48"/>
        <v>0</v>
      </c>
      <c r="AV475" s="54">
        <f t="shared" si="48"/>
        <v>0</v>
      </c>
      <c r="AW475" s="54">
        <f t="shared" si="48"/>
        <v>0</v>
      </c>
      <c r="AX475" s="54">
        <f t="shared" si="48"/>
        <v>0</v>
      </c>
      <c r="AY475" s="185">
        <f t="shared" si="48"/>
        <v>0</v>
      </c>
      <c r="AZ475"/>
      <c r="BA475" s="44" t="str">
        <f t="shared" ca="1" si="43"/>
        <v>VariantAllowances</v>
      </c>
      <c r="BB475" s="44" t="str">
        <f t="shared" si="41"/>
        <v>TO variant allowances</v>
      </c>
      <c r="BC475" s="44" t="str">
        <f t="shared" si="42"/>
        <v>Variant allowances allocation to totex categories</v>
      </c>
    </row>
    <row r="476" spans="4:55">
      <c r="D476">
        <f t="shared" si="37"/>
        <v>2.5</v>
      </c>
      <c r="E476" s="212" t="str">
        <f t="shared" si="38"/>
        <v>Pipeline Diversions Re-opener</v>
      </c>
      <c r="G476" s="43" t="str">
        <f t="shared" si="39"/>
        <v>£m 23/24 prices</v>
      </c>
      <c r="H476" s="43" t="str">
        <f t="shared" si="40"/>
        <v>Non-load (opex)</v>
      </c>
      <c r="AU476" s="143">
        <f t="shared" si="48"/>
        <v>0</v>
      </c>
      <c r="AV476" s="54">
        <f t="shared" si="48"/>
        <v>0</v>
      </c>
      <c r="AW476" s="54">
        <f t="shared" si="48"/>
        <v>0</v>
      </c>
      <c r="AX476" s="54">
        <f t="shared" si="48"/>
        <v>0</v>
      </c>
      <c r="AY476" s="185">
        <f t="shared" si="48"/>
        <v>0</v>
      </c>
      <c r="AZ476"/>
      <c r="BA476" s="44" t="str">
        <f t="shared" ca="1" si="43"/>
        <v>VariantAllowances</v>
      </c>
      <c r="BB476" s="44" t="str">
        <f t="shared" si="41"/>
        <v>TO variant allowances</v>
      </c>
      <c r="BC476" s="44" t="str">
        <f t="shared" si="42"/>
        <v>Variant allowances allocation to totex categories</v>
      </c>
    </row>
    <row r="477" spans="4:55">
      <c r="D477">
        <f t="shared" si="37"/>
        <v>2.5</v>
      </c>
      <c r="E477" s="201" t="str">
        <f t="shared" si="38"/>
        <v>Pipeline Diversions Re-opener</v>
      </c>
      <c r="F477" s="225"/>
      <c r="G477" s="202" t="str">
        <f t="shared" si="39"/>
        <v>£m 23/24 prices</v>
      </c>
      <c r="H477" s="202" t="str">
        <f t="shared" si="40"/>
        <v>Indirects (opex)</v>
      </c>
      <c r="I477" s="202"/>
      <c r="J477" s="202"/>
      <c r="K477" s="202"/>
      <c r="L477" s="202"/>
      <c r="M477" s="202"/>
      <c r="N477" s="202"/>
      <c r="O477" s="202"/>
      <c r="P477" s="202"/>
      <c r="Q477" s="202"/>
      <c r="R477" s="202"/>
      <c r="S477" s="202"/>
      <c r="T477" s="202"/>
      <c r="U477" s="202"/>
      <c r="V477" s="202"/>
      <c r="W477" s="202"/>
      <c r="X477" s="202"/>
      <c r="Y477" s="202"/>
      <c r="Z477" s="202"/>
      <c r="AA477" s="202"/>
      <c r="AB477" s="202"/>
      <c r="AC477" s="202"/>
      <c r="AD477" s="202"/>
      <c r="AE477" s="202"/>
      <c r="AF477" s="202"/>
      <c r="AG477" s="202"/>
      <c r="AH477" s="202"/>
      <c r="AI477" s="202"/>
      <c r="AJ477" s="202"/>
      <c r="AK477" s="202"/>
      <c r="AL477" s="202"/>
      <c r="AM477" s="202"/>
      <c r="AN477" s="202"/>
      <c r="AO477" s="202"/>
      <c r="AP477" s="202"/>
      <c r="AQ477" s="202"/>
      <c r="AR477" s="202"/>
      <c r="AS477" s="202"/>
      <c r="AT477" s="203"/>
      <c r="AU477" s="232">
        <f t="shared" si="48"/>
        <v>0</v>
      </c>
      <c r="AV477" s="233">
        <f t="shared" si="48"/>
        <v>0</v>
      </c>
      <c r="AW477" s="233">
        <f t="shared" si="48"/>
        <v>0</v>
      </c>
      <c r="AX477" s="233">
        <f t="shared" si="48"/>
        <v>0</v>
      </c>
      <c r="AY477" s="234">
        <f t="shared" si="48"/>
        <v>0</v>
      </c>
      <c r="AZ477"/>
      <c r="BA477" s="44" t="str">
        <f t="shared" ca="1" si="43"/>
        <v>VariantAllowances</v>
      </c>
      <c r="BB477" s="44" t="str">
        <f t="shared" si="41"/>
        <v>TO variant allowances</v>
      </c>
      <c r="BC477" s="44" t="str">
        <f t="shared" si="42"/>
        <v>Variant allowances allocation to totex categories</v>
      </c>
    </row>
    <row r="478" spans="4:55">
      <c r="D478">
        <f t="shared" si="37"/>
        <v>1.5</v>
      </c>
      <c r="E478" s="195" t="str">
        <f t="shared" si="38"/>
        <v>Biomethane Connections use it or lose it allowance</v>
      </c>
      <c r="F478" s="221"/>
      <c r="G478" s="196" t="str">
        <f t="shared" si="39"/>
        <v>£m 23/24 prices</v>
      </c>
      <c r="H478" s="196" t="str">
        <f t="shared" si="40"/>
        <v>Load related capex</v>
      </c>
      <c r="I478" s="196"/>
      <c r="J478" s="196"/>
      <c r="K478" s="196"/>
      <c r="L478" s="196"/>
      <c r="M478" s="196"/>
      <c r="N478" s="196"/>
      <c r="O478" s="196"/>
      <c r="P478" s="196"/>
      <c r="Q478" s="196"/>
      <c r="R478" s="196"/>
      <c r="S478" s="196"/>
      <c r="T478" s="196"/>
      <c r="U478" s="196"/>
      <c r="V478" s="196"/>
      <c r="W478" s="196"/>
      <c r="X478" s="196"/>
      <c r="Y478" s="196"/>
      <c r="Z478" s="196"/>
      <c r="AA478" s="196"/>
      <c r="AB478" s="196"/>
      <c r="AC478" s="196"/>
      <c r="AD478" s="196"/>
      <c r="AE478" s="196"/>
      <c r="AF478" s="196"/>
      <c r="AG478" s="196"/>
      <c r="AH478" s="196"/>
      <c r="AI478" s="196"/>
      <c r="AJ478" s="196"/>
      <c r="AK478" s="196"/>
      <c r="AL478" s="196"/>
      <c r="AM478" s="196"/>
      <c r="AN478" s="196"/>
      <c r="AO478" s="196"/>
      <c r="AP478" s="196"/>
      <c r="AQ478" s="196"/>
      <c r="AR478" s="196"/>
      <c r="AS478" s="196"/>
      <c r="AT478" s="197"/>
      <c r="AU478" s="229">
        <f t="shared" ref="AU478:AY487" si="49">INDEX(AU$8:AU$50,MATCH($E478,$E$8:$E$50,0))*AU218</f>
        <v>4</v>
      </c>
      <c r="AV478" s="230">
        <f t="shared" si="49"/>
        <v>4</v>
      </c>
      <c r="AW478" s="230">
        <f t="shared" si="49"/>
        <v>4</v>
      </c>
      <c r="AX478" s="230">
        <f t="shared" si="49"/>
        <v>4</v>
      </c>
      <c r="AY478" s="231">
        <f t="shared" si="49"/>
        <v>4</v>
      </c>
      <c r="AZ478"/>
      <c r="BA478" s="44" t="str">
        <f t="shared" ca="1" si="43"/>
        <v>VariantAllowances</v>
      </c>
      <c r="BB478" s="44" t="str">
        <f t="shared" si="41"/>
        <v>TO variant allowances</v>
      </c>
      <c r="BC478" s="44" t="str">
        <f t="shared" si="42"/>
        <v>Variant allowances allocation to totex categories</v>
      </c>
    </row>
    <row r="479" spans="4:55">
      <c r="D479">
        <f t="shared" si="37"/>
        <v>1.5</v>
      </c>
      <c r="E479" s="212" t="str">
        <f t="shared" si="38"/>
        <v>Biomethane Connections use it or lose it allowance</v>
      </c>
      <c r="G479" s="43" t="str">
        <f t="shared" si="39"/>
        <v>£m 23/24 prices</v>
      </c>
      <c r="H479" s="43" t="str">
        <f t="shared" si="40"/>
        <v>Asset replacement capex</v>
      </c>
      <c r="AU479" s="143">
        <f t="shared" si="49"/>
        <v>0</v>
      </c>
      <c r="AV479" s="54">
        <f t="shared" si="49"/>
        <v>0</v>
      </c>
      <c r="AW479" s="54">
        <f t="shared" si="49"/>
        <v>0</v>
      </c>
      <c r="AX479" s="54">
        <f t="shared" si="49"/>
        <v>0</v>
      </c>
      <c r="AY479" s="185">
        <f t="shared" si="49"/>
        <v>0</v>
      </c>
      <c r="AZ479"/>
      <c r="BA479" s="44" t="str">
        <f t="shared" ca="1" si="43"/>
        <v>VariantAllowances</v>
      </c>
      <c r="BB479" s="44" t="str">
        <f t="shared" si="41"/>
        <v>TO variant allowances</v>
      </c>
      <c r="BC479" s="44" t="str">
        <f t="shared" si="42"/>
        <v>Variant allowances allocation to totex categories</v>
      </c>
    </row>
    <row r="480" spans="4:55">
      <c r="D480">
        <f t="shared" si="37"/>
        <v>1.5</v>
      </c>
      <c r="E480" s="212" t="str">
        <f t="shared" si="38"/>
        <v>Biomethane Connections use it or lose it allowance</v>
      </c>
      <c r="G480" s="43" t="str">
        <f t="shared" si="39"/>
        <v>£m 23/24 prices</v>
      </c>
      <c r="H480" s="43" t="str">
        <f t="shared" si="40"/>
        <v>Other capex</v>
      </c>
      <c r="AU480" s="143">
        <f t="shared" si="49"/>
        <v>0</v>
      </c>
      <c r="AV480" s="54">
        <f t="shared" si="49"/>
        <v>0</v>
      </c>
      <c r="AW480" s="54">
        <f t="shared" si="49"/>
        <v>0</v>
      </c>
      <c r="AX480" s="54">
        <f t="shared" si="49"/>
        <v>0</v>
      </c>
      <c r="AY480" s="185">
        <f t="shared" si="49"/>
        <v>0</v>
      </c>
      <c r="AZ480"/>
      <c r="BA480" s="44" t="str">
        <f t="shared" ca="1" si="43"/>
        <v>VariantAllowances</v>
      </c>
      <c r="BB480" s="44" t="str">
        <f t="shared" si="41"/>
        <v>TO variant allowances</v>
      </c>
      <c r="BC480" s="44" t="str">
        <f t="shared" si="42"/>
        <v>Variant allowances allocation to totex categories</v>
      </c>
    </row>
    <row r="481" spans="4:55">
      <c r="D481">
        <f t="shared" si="37"/>
        <v>1.5</v>
      </c>
      <c r="E481" s="212" t="str">
        <f t="shared" si="38"/>
        <v>Biomethane Connections use it or lose it allowance</v>
      </c>
      <c r="G481" s="43" t="str">
        <f t="shared" si="39"/>
        <v>£m 23/24 prices</v>
      </c>
      <c r="H481" s="43" t="str">
        <f t="shared" si="40"/>
        <v>Non-operational capex</v>
      </c>
      <c r="AU481" s="143">
        <f t="shared" si="49"/>
        <v>0</v>
      </c>
      <c r="AV481" s="54">
        <f t="shared" si="49"/>
        <v>0</v>
      </c>
      <c r="AW481" s="54">
        <f t="shared" si="49"/>
        <v>0</v>
      </c>
      <c r="AX481" s="54">
        <f t="shared" si="49"/>
        <v>0</v>
      </c>
      <c r="AY481" s="185">
        <f t="shared" si="49"/>
        <v>0</v>
      </c>
      <c r="AZ481"/>
      <c r="BA481" s="44" t="str">
        <f t="shared" ca="1" si="43"/>
        <v>VariantAllowances</v>
      </c>
      <c r="BB481" s="44" t="str">
        <f t="shared" si="41"/>
        <v>TO variant allowances</v>
      </c>
      <c r="BC481" s="44" t="str">
        <f t="shared" si="42"/>
        <v>Variant allowances allocation to totex categories</v>
      </c>
    </row>
    <row r="482" spans="4:55">
      <c r="D482">
        <f t="shared" si="37"/>
        <v>1.5</v>
      </c>
      <c r="E482" s="212" t="str">
        <f t="shared" si="38"/>
        <v>Biomethane Connections use it or lose it allowance</v>
      </c>
      <c r="G482" s="43" t="str">
        <f t="shared" si="39"/>
        <v>£m 23/24 prices</v>
      </c>
      <c r="H482" s="43" t="str">
        <f t="shared" si="40"/>
        <v>Non-load (opex)</v>
      </c>
      <c r="AU482" s="143">
        <f t="shared" si="49"/>
        <v>0</v>
      </c>
      <c r="AV482" s="54">
        <f t="shared" si="49"/>
        <v>0</v>
      </c>
      <c r="AW482" s="54">
        <f t="shared" si="49"/>
        <v>0</v>
      </c>
      <c r="AX482" s="54">
        <f t="shared" si="49"/>
        <v>0</v>
      </c>
      <c r="AY482" s="185">
        <f t="shared" si="49"/>
        <v>0</v>
      </c>
      <c r="AZ482"/>
      <c r="BA482" s="44" t="str">
        <f t="shared" ca="1" si="43"/>
        <v>VariantAllowances</v>
      </c>
      <c r="BB482" s="44" t="str">
        <f t="shared" si="41"/>
        <v>TO variant allowances</v>
      </c>
      <c r="BC482" s="44" t="str">
        <f t="shared" si="42"/>
        <v>Variant allowances allocation to totex categories</v>
      </c>
    </row>
    <row r="483" spans="4:55">
      <c r="D483">
        <f t="shared" si="37"/>
        <v>1.5</v>
      </c>
      <c r="E483" s="201" t="str">
        <f t="shared" si="38"/>
        <v>Biomethane Connections use it or lose it allowance</v>
      </c>
      <c r="F483" s="225"/>
      <c r="G483" s="202" t="str">
        <f t="shared" si="39"/>
        <v>£m 23/24 prices</v>
      </c>
      <c r="H483" s="202" t="str">
        <f t="shared" si="40"/>
        <v>Indirects (opex)</v>
      </c>
      <c r="I483" s="202"/>
      <c r="J483" s="202"/>
      <c r="K483" s="202"/>
      <c r="L483" s="202"/>
      <c r="M483" s="202"/>
      <c r="N483" s="202"/>
      <c r="O483" s="202"/>
      <c r="P483" s="202"/>
      <c r="Q483" s="202"/>
      <c r="R483" s="202"/>
      <c r="S483" s="202"/>
      <c r="T483" s="202"/>
      <c r="U483" s="202"/>
      <c r="V483" s="202"/>
      <c r="W483" s="202"/>
      <c r="X483" s="202"/>
      <c r="Y483" s="202"/>
      <c r="Z483" s="202"/>
      <c r="AA483" s="202"/>
      <c r="AB483" s="202"/>
      <c r="AC483" s="202"/>
      <c r="AD483" s="202"/>
      <c r="AE483" s="202"/>
      <c r="AF483" s="202"/>
      <c r="AG483" s="202"/>
      <c r="AH483" s="202"/>
      <c r="AI483" s="202"/>
      <c r="AJ483" s="202"/>
      <c r="AK483" s="202"/>
      <c r="AL483" s="202"/>
      <c r="AM483" s="202"/>
      <c r="AN483" s="202"/>
      <c r="AO483" s="202"/>
      <c r="AP483" s="202"/>
      <c r="AQ483" s="202"/>
      <c r="AR483" s="202"/>
      <c r="AS483" s="202"/>
      <c r="AT483" s="203"/>
      <c r="AU483" s="232">
        <f t="shared" si="49"/>
        <v>0</v>
      </c>
      <c r="AV483" s="233">
        <f t="shared" si="49"/>
        <v>0</v>
      </c>
      <c r="AW483" s="233">
        <f t="shared" si="49"/>
        <v>0</v>
      </c>
      <c r="AX483" s="233">
        <f t="shared" si="49"/>
        <v>0</v>
      </c>
      <c r="AY483" s="234">
        <f t="shared" si="49"/>
        <v>0</v>
      </c>
      <c r="AZ483"/>
      <c r="BA483" s="44" t="str">
        <f t="shared" ca="1" si="43"/>
        <v>VariantAllowances</v>
      </c>
      <c r="BB483" s="44" t="str">
        <f t="shared" si="41"/>
        <v>TO variant allowances</v>
      </c>
      <c r="BC483" s="44" t="str">
        <f t="shared" si="42"/>
        <v>Variant allowances allocation to totex categories</v>
      </c>
    </row>
    <row r="484" spans="4:55">
      <c r="D484">
        <f t="shared" si="37"/>
        <v>1.5</v>
      </c>
      <c r="E484" s="195" t="str">
        <f t="shared" si="38"/>
        <v>Compressor Breakdown Use it or lose it allowance</v>
      </c>
      <c r="F484" s="221"/>
      <c r="G484" s="196" t="str">
        <f t="shared" si="39"/>
        <v>£m 23/24 prices</v>
      </c>
      <c r="H484" s="196" t="str">
        <f t="shared" si="40"/>
        <v>Load related capex</v>
      </c>
      <c r="I484" s="196"/>
      <c r="J484" s="196"/>
      <c r="K484" s="196"/>
      <c r="L484" s="196"/>
      <c r="M484" s="196"/>
      <c r="N484" s="196"/>
      <c r="O484" s="196"/>
      <c r="P484" s="196"/>
      <c r="Q484" s="196"/>
      <c r="R484" s="196"/>
      <c r="S484" s="196"/>
      <c r="T484" s="196"/>
      <c r="U484" s="196"/>
      <c r="V484" s="196"/>
      <c r="W484" s="196"/>
      <c r="X484" s="196"/>
      <c r="Y484" s="196"/>
      <c r="Z484" s="196"/>
      <c r="AA484" s="196"/>
      <c r="AB484" s="196"/>
      <c r="AC484" s="196"/>
      <c r="AD484" s="196"/>
      <c r="AE484" s="196"/>
      <c r="AF484" s="196"/>
      <c r="AG484" s="196"/>
      <c r="AH484" s="196"/>
      <c r="AI484" s="196"/>
      <c r="AJ484" s="196"/>
      <c r="AK484" s="196"/>
      <c r="AL484" s="196"/>
      <c r="AM484" s="196"/>
      <c r="AN484" s="196"/>
      <c r="AO484" s="196"/>
      <c r="AP484" s="196"/>
      <c r="AQ484" s="196"/>
      <c r="AR484" s="196"/>
      <c r="AS484" s="196"/>
      <c r="AT484" s="197"/>
      <c r="AU484" s="229">
        <f t="shared" si="49"/>
        <v>2.083254347769862</v>
      </c>
      <c r="AV484" s="230">
        <f t="shared" si="49"/>
        <v>4.0254791671583572</v>
      </c>
      <c r="AW484" s="230">
        <f t="shared" si="49"/>
        <v>2.7819269838536234</v>
      </c>
      <c r="AX484" s="230">
        <f t="shared" si="49"/>
        <v>5.3493801699930099</v>
      </c>
      <c r="AY484" s="231">
        <f t="shared" si="49"/>
        <v>5.2958863682930799</v>
      </c>
      <c r="AZ484"/>
      <c r="BA484" s="44" t="str">
        <f t="shared" ca="1" si="43"/>
        <v>VariantAllowances</v>
      </c>
      <c r="BB484" s="44" t="str">
        <f t="shared" si="41"/>
        <v>TO variant allowances</v>
      </c>
      <c r="BC484" s="44" t="str">
        <f t="shared" si="42"/>
        <v>Variant allowances allocation to totex categories</v>
      </c>
    </row>
    <row r="485" spans="4:55">
      <c r="D485">
        <f t="shared" si="37"/>
        <v>1.5</v>
      </c>
      <c r="E485" s="212" t="str">
        <f t="shared" si="38"/>
        <v>Compressor Breakdown Use it or lose it allowance</v>
      </c>
      <c r="G485" s="43" t="str">
        <f t="shared" si="39"/>
        <v>£m 23/24 prices</v>
      </c>
      <c r="H485" s="43" t="str">
        <f t="shared" si="40"/>
        <v>Asset replacement capex</v>
      </c>
      <c r="AU485" s="143">
        <f t="shared" si="49"/>
        <v>0</v>
      </c>
      <c r="AV485" s="54">
        <f t="shared" si="49"/>
        <v>0</v>
      </c>
      <c r="AW485" s="54">
        <f t="shared" si="49"/>
        <v>0</v>
      </c>
      <c r="AX485" s="54">
        <f t="shared" si="49"/>
        <v>0</v>
      </c>
      <c r="AY485" s="185">
        <f t="shared" si="49"/>
        <v>0</v>
      </c>
      <c r="AZ485"/>
      <c r="BA485" s="44" t="str">
        <f t="shared" ca="1" si="43"/>
        <v>VariantAllowances</v>
      </c>
      <c r="BB485" s="44" t="str">
        <f t="shared" si="41"/>
        <v>TO variant allowances</v>
      </c>
      <c r="BC485" s="44" t="str">
        <f t="shared" si="42"/>
        <v>Variant allowances allocation to totex categories</v>
      </c>
    </row>
    <row r="486" spans="4:55">
      <c r="D486">
        <f t="shared" ref="D486:D549" si="50">INDEX($AY$53:$AY$95,MATCH(E486,$E$53:$E$95,0))</f>
        <v>1.5</v>
      </c>
      <c r="E486" s="212" t="str">
        <f t="shared" ref="E486:E549" si="51">E226</f>
        <v>Compressor Breakdown Use it or lose it allowance</v>
      </c>
      <c r="G486" s="43" t="str">
        <f t="shared" ref="G486:G549" si="52">price_label</f>
        <v>£m 23/24 prices</v>
      </c>
      <c r="H486" s="43" t="str">
        <f t="shared" ref="H486:H549" si="53">H226</f>
        <v>Other capex</v>
      </c>
      <c r="AU486" s="143">
        <f t="shared" si="49"/>
        <v>0</v>
      </c>
      <c r="AV486" s="54">
        <f t="shared" si="49"/>
        <v>0</v>
      </c>
      <c r="AW486" s="54">
        <f t="shared" si="49"/>
        <v>0</v>
      </c>
      <c r="AX486" s="54">
        <f t="shared" si="49"/>
        <v>0</v>
      </c>
      <c r="AY486" s="185">
        <f t="shared" si="49"/>
        <v>0</v>
      </c>
      <c r="AZ486"/>
      <c r="BA486" s="44" t="str">
        <f t="shared" ca="1" si="43"/>
        <v>VariantAllowances</v>
      </c>
      <c r="BB486" s="44" t="str">
        <f t="shared" ref="BB486:BB549" si="54">$A$6</f>
        <v>TO variant allowances</v>
      </c>
      <c r="BC486" s="44" t="str">
        <f t="shared" ref="BC486:BC549" si="55">$B$357</f>
        <v>Variant allowances allocation to totex categories</v>
      </c>
    </row>
    <row r="487" spans="4:55">
      <c r="D487">
        <f t="shared" si="50"/>
        <v>1.5</v>
      </c>
      <c r="E487" s="212" t="str">
        <f t="shared" si="51"/>
        <v>Compressor Breakdown Use it or lose it allowance</v>
      </c>
      <c r="G487" s="43" t="str">
        <f t="shared" si="52"/>
        <v>£m 23/24 prices</v>
      </c>
      <c r="H487" s="43" t="str">
        <f t="shared" si="53"/>
        <v>Non-operational capex</v>
      </c>
      <c r="AU487" s="143">
        <f t="shared" si="49"/>
        <v>0</v>
      </c>
      <c r="AV487" s="54">
        <f t="shared" si="49"/>
        <v>0</v>
      </c>
      <c r="AW487" s="54">
        <f t="shared" si="49"/>
        <v>0</v>
      </c>
      <c r="AX487" s="54">
        <f t="shared" si="49"/>
        <v>0</v>
      </c>
      <c r="AY487" s="185">
        <f t="shared" si="49"/>
        <v>0</v>
      </c>
      <c r="AZ487"/>
      <c r="BA487" s="44" t="str">
        <f t="shared" ref="BA487:BA550" ca="1" si="56">$A$1</f>
        <v>VariantAllowances</v>
      </c>
      <c r="BB487" s="44" t="str">
        <f t="shared" si="54"/>
        <v>TO variant allowances</v>
      </c>
      <c r="BC487" s="44" t="str">
        <f t="shared" si="55"/>
        <v>Variant allowances allocation to totex categories</v>
      </c>
    </row>
    <row r="488" spans="4:55">
      <c r="D488">
        <f t="shared" si="50"/>
        <v>1.5</v>
      </c>
      <c r="E488" s="212" t="str">
        <f t="shared" si="51"/>
        <v>Compressor Breakdown Use it or lose it allowance</v>
      </c>
      <c r="G488" s="43" t="str">
        <f t="shared" si="52"/>
        <v>£m 23/24 prices</v>
      </c>
      <c r="H488" s="43" t="str">
        <f t="shared" si="53"/>
        <v>Non-load (opex)</v>
      </c>
      <c r="AU488" s="143">
        <f t="shared" ref="AU488:AY497" si="57">INDEX(AU$8:AU$50,MATCH($E488,$E$8:$E$50,0))*AU228</f>
        <v>0</v>
      </c>
      <c r="AV488" s="54">
        <f t="shared" si="57"/>
        <v>0</v>
      </c>
      <c r="AW488" s="54">
        <f t="shared" si="57"/>
        <v>0</v>
      </c>
      <c r="AX488" s="54">
        <f t="shared" si="57"/>
        <v>0</v>
      </c>
      <c r="AY488" s="185">
        <f t="shared" si="57"/>
        <v>0</v>
      </c>
      <c r="AZ488"/>
      <c r="BA488" s="44" t="str">
        <f t="shared" ca="1" si="56"/>
        <v>VariantAllowances</v>
      </c>
      <c r="BB488" s="44" t="str">
        <f t="shared" si="54"/>
        <v>TO variant allowances</v>
      </c>
      <c r="BC488" s="44" t="str">
        <f t="shared" si="55"/>
        <v>Variant allowances allocation to totex categories</v>
      </c>
    </row>
    <row r="489" spans="4:55">
      <c r="D489">
        <f t="shared" si="50"/>
        <v>1.5</v>
      </c>
      <c r="E489" s="201" t="str">
        <f t="shared" si="51"/>
        <v>Compressor Breakdown Use it or lose it allowance</v>
      </c>
      <c r="F489" s="225"/>
      <c r="G489" s="202" t="str">
        <f t="shared" si="52"/>
        <v>£m 23/24 prices</v>
      </c>
      <c r="H489" s="202" t="str">
        <f t="shared" si="53"/>
        <v>Indirects (opex)</v>
      </c>
      <c r="I489" s="202"/>
      <c r="J489" s="202"/>
      <c r="K489" s="202"/>
      <c r="L489" s="202"/>
      <c r="M489" s="202"/>
      <c r="N489" s="202"/>
      <c r="O489" s="202"/>
      <c r="P489" s="202"/>
      <c r="Q489" s="202"/>
      <c r="R489" s="202"/>
      <c r="S489" s="202"/>
      <c r="T489" s="202"/>
      <c r="U489" s="202"/>
      <c r="V489" s="202"/>
      <c r="W489" s="202"/>
      <c r="X489" s="202"/>
      <c r="Y489" s="202"/>
      <c r="Z489" s="202"/>
      <c r="AA489" s="202"/>
      <c r="AB489" s="202"/>
      <c r="AC489" s="202"/>
      <c r="AD489" s="202"/>
      <c r="AE489" s="202"/>
      <c r="AF489" s="202"/>
      <c r="AG489" s="202"/>
      <c r="AH489" s="202"/>
      <c r="AI489" s="202"/>
      <c r="AJ489" s="202"/>
      <c r="AK489" s="202"/>
      <c r="AL489" s="202"/>
      <c r="AM489" s="202"/>
      <c r="AN489" s="202"/>
      <c r="AO489" s="202"/>
      <c r="AP489" s="202"/>
      <c r="AQ489" s="202"/>
      <c r="AR489" s="202"/>
      <c r="AS489" s="202"/>
      <c r="AT489" s="203"/>
      <c r="AU489" s="232">
        <f t="shared" si="57"/>
        <v>0</v>
      </c>
      <c r="AV489" s="233">
        <f t="shared" si="57"/>
        <v>0</v>
      </c>
      <c r="AW489" s="233">
        <f t="shared" si="57"/>
        <v>0</v>
      </c>
      <c r="AX489" s="233">
        <f t="shared" si="57"/>
        <v>0</v>
      </c>
      <c r="AY489" s="234">
        <f t="shared" si="57"/>
        <v>0</v>
      </c>
      <c r="AZ489"/>
      <c r="BA489" s="44" t="str">
        <f t="shared" ca="1" si="56"/>
        <v>VariantAllowances</v>
      </c>
      <c r="BB489" s="44" t="str">
        <f t="shared" si="54"/>
        <v>TO variant allowances</v>
      </c>
      <c r="BC489" s="44" t="str">
        <f t="shared" si="55"/>
        <v>Variant allowances allocation to totex categories</v>
      </c>
    </row>
    <row r="490" spans="4:55">
      <c r="D490">
        <f t="shared" si="50"/>
        <v>1</v>
      </c>
      <c r="E490" s="195" t="str">
        <f t="shared" si="51"/>
        <v>Nitrogen Sleeves Price Control Deliverable</v>
      </c>
      <c r="F490" s="221"/>
      <c r="G490" s="196" t="str">
        <f t="shared" si="52"/>
        <v>£m 23/24 prices</v>
      </c>
      <c r="H490" s="196" t="str">
        <f t="shared" si="53"/>
        <v>Load related capex</v>
      </c>
      <c r="I490" s="196"/>
      <c r="J490" s="196"/>
      <c r="K490" s="196"/>
      <c r="L490" s="196"/>
      <c r="M490" s="196"/>
      <c r="N490" s="196"/>
      <c r="O490" s="196"/>
      <c r="P490" s="196"/>
      <c r="Q490" s="196"/>
      <c r="R490" s="196"/>
      <c r="S490" s="196"/>
      <c r="T490" s="196"/>
      <c r="U490" s="196"/>
      <c r="V490" s="196"/>
      <c r="W490" s="196"/>
      <c r="X490" s="196"/>
      <c r="Y490" s="196"/>
      <c r="Z490" s="196"/>
      <c r="AA490" s="196"/>
      <c r="AB490" s="196"/>
      <c r="AC490" s="196"/>
      <c r="AD490" s="196"/>
      <c r="AE490" s="196"/>
      <c r="AF490" s="196"/>
      <c r="AG490" s="196"/>
      <c r="AH490" s="196"/>
      <c r="AI490" s="196"/>
      <c r="AJ490" s="196"/>
      <c r="AK490" s="196"/>
      <c r="AL490" s="196"/>
      <c r="AM490" s="196"/>
      <c r="AN490" s="196"/>
      <c r="AO490" s="196"/>
      <c r="AP490" s="196"/>
      <c r="AQ490" s="196"/>
      <c r="AR490" s="196"/>
      <c r="AS490" s="196"/>
      <c r="AT490" s="197"/>
      <c r="AU490" s="229">
        <f t="shared" si="57"/>
        <v>0</v>
      </c>
      <c r="AV490" s="230">
        <f t="shared" si="57"/>
        <v>0</v>
      </c>
      <c r="AW490" s="230">
        <f t="shared" si="57"/>
        <v>0</v>
      </c>
      <c r="AX490" s="230">
        <f t="shared" si="57"/>
        <v>0</v>
      </c>
      <c r="AY490" s="231">
        <f t="shared" si="57"/>
        <v>0</v>
      </c>
      <c r="AZ490"/>
      <c r="BA490" s="44" t="str">
        <f t="shared" ca="1" si="56"/>
        <v>VariantAllowances</v>
      </c>
      <c r="BB490" s="44" t="str">
        <f t="shared" si="54"/>
        <v>TO variant allowances</v>
      </c>
      <c r="BC490" s="44" t="str">
        <f t="shared" si="55"/>
        <v>Variant allowances allocation to totex categories</v>
      </c>
    </row>
    <row r="491" spans="4:55">
      <c r="D491">
        <f t="shared" si="50"/>
        <v>1</v>
      </c>
      <c r="E491" s="212" t="str">
        <f t="shared" si="51"/>
        <v>Nitrogen Sleeves Price Control Deliverable</v>
      </c>
      <c r="G491" s="43" t="str">
        <f t="shared" si="52"/>
        <v>£m 23/24 prices</v>
      </c>
      <c r="H491" s="43" t="str">
        <f t="shared" si="53"/>
        <v>Asset replacement capex</v>
      </c>
      <c r="AU491" s="143">
        <f t="shared" si="57"/>
        <v>4.4042626300332515</v>
      </c>
      <c r="AV491" s="54">
        <f t="shared" si="57"/>
        <v>4.3747000666272582</v>
      </c>
      <c r="AW491" s="54">
        <f t="shared" si="57"/>
        <v>4.4657211919893429</v>
      </c>
      <c r="AX491" s="54">
        <f t="shared" si="57"/>
        <v>6.604381086076887</v>
      </c>
      <c r="AY491" s="185">
        <f t="shared" si="57"/>
        <v>14.511451759625936</v>
      </c>
      <c r="AZ491"/>
      <c r="BA491" s="44" t="str">
        <f t="shared" ca="1" si="56"/>
        <v>VariantAllowances</v>
      </c>
      <c r="BB491" s="44" t="str">
        <f t="shared" si="54"/>
        <v>TO variant allowances</v>
      </c>
      <c r="BC491" s="44" t="str">
        <f t="shared" si="55"/>
        <v>Variant allowances allocation to totex categories</v>
      </c>
    </row>
    <row r="492" spans="4:55">
      <c r="D492">
        <f t="shared" si="50"/>
        <v>1</v>
      </c>
      <c r="E492" s="212" t="str">
        <f t="shared" si="51"/>
        <v>Nitrogen Sleeves Price Control Deliverable</v>
      </c>
      <c r="G492" s="43" t="str">
        <f t="shared" si="52"/>
        <v>£m 23/24 prices</v>
      </c>
      <c r="H492" s="43" t="str">
        <f t="shared" si="53"/>
        <v>Other capex</v>
      </c>
      <c r="AU492" s="143">
        <f t="shared" si="57"/>
        <v>0</v>
      </c>
      <c r="AV492" s="54">
        <f t="shared" si="57"/>
        <v>0</v>
      </c>
      <c r="AW492" s="54">
        <f t="shared" si="57"/>
        <v>0</v>
      </c>
      <c r="AX492" s="54">
        <f t="shared" si="57"/>
        <v>0</v>
      </c>
      <c r="AY492" s="185">
        <f t="shared" si="57"/>
        <v>0</v>
      </c>
      <c r="AZ492"/>
      <c r="BA492" s="44" t="str">
        <f t="shared" ca="1" si="56"/>
        <v>VariantAllowances</v>
      </c>
      <c r="BB492" s="44" t="str">
        <f t="shared" si="54"/>
        <v>TO variant allowances</v>
      </c>
      <c r="BC492" s="44" t="str">
        <f t="shared" si="55"/>
        <v>Variant allowances allocation to totex categories</v>
      </c>
    </row>
    <row r="493" spans="4:55">
      <c r="D493">
        <f t="shared" si="50"/>
        <v>1</v>
      </c>
      <c r="E493" s="212" t="str">
        <f t="shared" si="51"/>
        <v>Nitrogen Sleeves Price Control Deliverable</v>
      </c>
      <c r="G493" s="43" t="str">
        <f t="shared" si="52"/>
        <v>£m 23/24 prices</v>
      </c>
      <c r="H493" s="43" t="str">
        <f t="shared" si="53"/>
        <v>Non-operational capex</v>
      </c>
      <c r="AU493" s="143">
        <f t="shared" si="57"/>
        <v>0</v>
      </c>
      <c r="AV493" s="54">
        <f t="shared" si="57"/>
        <v>0</v>
      </c>
      <c r="AW493" s="54">
        <f t="shared" si="57"/>
        <v>0</v>
      </c>
      <c r="AX493" s="54">
        <f t="shared" si="57"/>
        <v>0</v>
      </c>
      <c r="AY493" s="185">
        <f t="shared" si="57"/>
        <v>0</v>
      </c>
      <c r="AZ493"/>
      <c r="BA493" s="44" t="str">
        <f t="shared" ca="1" si="56"/>
        <v>VariantAllowances</v>
      </c>
      <c r="BB493" s="44" t="str">
        <f t="shared" si="54"/>
        <v>TO variant allowances</v>
      </c>
      <c r="BC493" s="44" t="str">
        <f t="shared" si="55"/>
        <v>Variant allowances allocation to totex categories</v>
      </c>
    </row>
    <row r="494" spans="4:55">
      <c r="D494">
        <f t="shared" si="50"/>
        <v>1</v>
      </c>
      <c r="E494" s="212" t="str">
        <f t="shared" si="51"/>
        <v>Nitrogen Sleeves Price Control Deliverable</v>
      </c>
      <c r="G494" s="43" t="str">
        <f t="shared" si="52"/>
        <v>£m 23/24 prices</v>
      </c>
      <c r="H494" s="43" t="str">
        <f t="shared" si="53"/>
        <v>Non-load (opex)</v>
      </c>
      <c r="AU494" s="143">
        <f t="shared" si="57"/>
        <v>0</v>
      </c>
      <c r="AV494" s="54">
        <f t="shared" si="57"/>
        <v>0</v>
      </c>
      <c r="AW494" s="54">
        <f t="shared" si="57"/>
        <v>0</v>
      </c>
      <c r="AX494" s="54">
        <f t="shared" si="57"/>
        <v>0</v>
      </c>
      <c r="AY494" s="185">
        <f t="shared" si="57"/>
        <v>0</v>
      </c>
      <c r="AZ494"/>
      <c r="BA494" s="44" t="str">
        <f t="shared" ca="1" si="56"/>
        <v>VariantAllowances</v>
      </c>
      <c r="BB494" s="44" t="str">
        <f t="shared" si="54"/>
        <v>TO variant allowances</v>
      </c>
      <c r="BC494" s="44" t="str">
        <f t="shared" si="55"/>
        <v>Variant allowances allocation to totex categories</v>
      </c>
    </row>
    <row r="495" spans="4:55">
      <c r="D495">
        <f t="shared" si="50"/>
        <v>1</v>
      </c>
      <c r="E495" s="201" t="str">
        <f t="shared" si="51"/>
        <v>Nitrogen Sleeves Price Control Deliverable</v>
      </c>
      <c r="F495" s="225"/>
      <c r="G495" s="202" t="str">
        <f t="shared" si="52"/>
        <v>£m 23/24 prices</v>
      </c>
      <c r="H495" s="202" t="str">
        <f t="shared" si="53"/>
        <v>Indirects (opex)</v>
      </c>
      <c r="I495" s="202"/>
      <c r="J495" s="202"/>
      <c r="K495" s="202"/>
      <c r="L495" s="202"/>
      <c r="M495" s="202"/>
      <c r="N495" s="202"/>
      <c r="O495" s="202"/>
      <c r="P495" s="202"/>
      <c r="Q495" s="202"/>
      <c r="R495" s="202"/>
      <c r="S495" s="202"/>
      <c r="T495" s="202"/>
      <c r="U495" s="202"/>
      <c r="V495" s="202"/>
      <c r="W495" s="202"/>
      <c r="X495" s="202"/>
      <c r="Y495" s="202"/>
      <c r="Z495" s="202"/>
      <c r="AA495" s="202"/>
      <c r="AB495" s="202"/>
      <c r="AC495" s="202"/>
      <c r="AD495" s="202"/>
      <c r="AE495" s="202"/>
      <c r="AF495" s="202"/>
      <c r="AG495" s="202"/>
      <c r="AH495" s="202"/>
      <c r="AI495" s="202"/>
      <c r="AJ495" s="202"/>
      <c r="AK495" s="202"/>
      <c r="AL495" s="202"/>
      <c r="AM495" s="202"/>
      <c r="AN495" s="202"/>
      <c r="AO495" s="202"/>
      <c r="AP495" s="202"/>
      <c r="AQ495" s="202"/>
      <c r="AR495" s="202"/>
      <c r="AS495" s="202"/>
      <c r="AT495" s="203"/>
      <c r="AU495" s="232">
        <f t="shared" si="57"/>
        <v>0</v>
      </c>
      <c r="AV495" s="233">
        <f t="shared" si="57"/>
        <v>0</v>
      </c>
      <c r="AW495" s="233">
        <f t="shared" si="57"/>
        <v>0</v>
      </c>
      <c r="AX495" s="233">
        <f t="shared" si="57"/>
        <v>0</v>
      </c>
      <c r="AY495" s="234">
        <f t="shared" si="57"/>
        <v>0</v>
      </c>
      <c r="AZ495"/>
      <c r="BA495" s="44" t="str">
        <f t="shared" ca="1" si="56"/>
        <v>VariantAllowances</v>
      </c>
      <c r="BB495" s="44" t="str">
        <f t="shared" si="54"/>
        <v>TO variant allowances</v>
      </c>
      <c r="BC495" s="44" t="str">
        <f t="shared" si="55"/>
        <v>Variant allowances allocation to totex categories</v>
      </c>
    </row>
    <row r="496" spans="4:55">
      <c r="D496">
        <f t="shared" si="50"/>
        <v>1</v>
      </c>
      <c r="E496" s="195" t="str">
        <f t="shared" si="51"/>
        <v>West Import Resilience Project Price Control Deliverable</v>
      </c>
      <c r="F496" s="221"/>
      <c r="G496" s="196" t="str">
        <f t="shared" si="52"/>
        <v>£m 23/24 prices</v>
      </c>
      <c r="H496" s="196" t="str">
        <f t="shared" si="53"/>
        <v>Load related capex</v>
      </c>
      <c r="I496" s="196"/>
      <c r="J496" s="196"/>
      <c r="K496" s="196"/>
      <c r="L496" s="196"/>
      <c r="M496" s="196"/>
      <c r="N496" s="196"/>
      <c r="O496" s="196"/>
      <c r="P496" s="196"/>
      <c r="Q496" s="196"/>
      <c r="R496" s="196"/>
      <c r="S496" s="196"/>
      <c r="T496" s="196"/>
      <c r="U496" s="196"/>
      <c r="V496" s="196"/>
      <c r="W496" s="196"/>
      <c r="X496" s="196"/>
      <c r="Y496" s="196"/>
      <c r="Z496" s="196"/>
      <c r="AA496" s="196"/>
      <c r="AB496" s="196"/>
      <c r="AC496" s="196"/>
      <c r="AD496" s="196"/>
      <c r="AE496" s="196"/>
      <c r="AF496" s="196"/>
      <c r="AG496" s="196"/>
      <c r="AH496" s="196"/>
      <c r="AI496" s="196"/>
      <c r="AJ496" s="196"/>
      <c r="AK496" s="196"/>
      <c r="AL496" s="196"/>
      <c r="AM496" s="196"/>
      <c r="AN496" s="196"/>
      <c r="AO496" s="196"/>
      <c r="AP496" s="196"/>
      <c r="AQ496" s="196"/>
      <c r="AR496" s="196"/>
      <c r="AS496" s="196"/>
      <c r="AT496" s="197"/>
      <c r="AU496" s="229">
        <f t="shared" si="57"/>
        <v>0</v>
      </c>
      <c r="AV496" s="230">
        <f t="shared" si="57"/>
        <v>0</v>
      </c>
      <c r="AW496" s="230">
        <f t="shared" si="57"/>
        <v>0</v>
      </c>
      <c r="AX496" s="230">
        <f t="shared" si="57"/>
        <v>0</v>
      </c>
      <c r="AY496" s="231">
        <f t="shared" si="57"/>
        <v>0</v>
      </c>
      <c r="AZ496"/>
      <c r="BA496" s="44" t="str">
        <f t="shared" ca="1" si="56"/>
        <v>VariantAllowances</v>
      </c>
      <c r="BB496" s="44" t="str">
        <f t="shared" si="54"/>
        <v>TO variant allowances</v>
      </c>
      <c r="BC496" s="44" t="str">
        <f t="shared" si="55"/>
        <v>Variant allowances allocation to totex categories</v>
      </c>
    </row>
    <row r="497" spans="4:55">
      <c r="D497">
        <f t="shared" si="50"/>
        <v>1</v>
      </c>
      <c r="E497" s="212" t="str">
        <f t="shared" si="51"/>
        <v>West Import Resilience Project Price Control Deliverable</v>
      </c>
      <c r="G497" s="43" t="str">
        <f t="shared" si="52"/>
        <v>£m 23/24 prices</v>
      </c>
      <c r="H497" s="43" t="str">
        <f t="shared" si="53"/>
        <v>Asset replacement capex</v>
      </c>
      <c r="AU497" s="143">
        <f t="shared" si="57"/>
        <v>13.53437834975127</v>
      </c>
      <c r="AV497" s="54">
        <f t="shared" si="57"/>
        <v>19.863778311413519</v>
      </c>
      <c r="AW497" s="54">
        <f t="shared" si="57"/>
        <v>42.782035483739442</v>
      </c>
      <c r="AX497" s="54">
        <f t="shared" si="57"/>
        <v>7.1276774703137251</v>
      </c>
      <c r="AY497" s="185">
        <f t="shared" si="57"/>
        <v>1.9998726852021576E-2</v>
      </c>
      <c r="AZ497"/>
      <c r="BA497" s="44" t="str">
        <f t="shared" ca="1" si="56"/>
        <v>VariantAllowances</v>
      </c>
      <c r="BB497" s="44" t="str">
        <f t="shared" si="54"/>
        <v>TO variant allowances</v>
      </c>
      <c r="BC497" s="44" t="str">
        <f t="shared" si="55"/>
        <v>Variant allowances allocation to totex categories</v>
      </c>
    </row>
    <row r="498" spans="4:55">
      <c r="D498">
        <f t="shared" si="50"/>
        <v>1</v>
      </c>
      <c r="E498" s="212" t="str">
        <f t="shared" si="51"/>
        <v>West Import Resilience Project Price Control Deliverable</v>
      </c>
      <c r="G498" s="43" t="str">
        <f t="shared" si="52"/>
        <v>£m 23/24 prices</v>
      </c>
      <c r="H498" s="43" t="str">
        <f t="shared" si="53"/>
        <v>Other capex</v>
      </c>
      <c r="AU498" s="143">
        <f t="shared" ref="AU498:AY507" si="58">INDEX(AU$8:AU$50,MATCH($E498,$E$8:$E$50,0))*AU238</f>
        <v>0</v>
      </c>
      <c r="AV498" s="54">
        <f t="shared" si="58"/>
        <v>0</v>
      </c>
      <c r="AW498" s="54">
        <f t="shared" si="58"/>
        <v>0</v>
      </c>
      <c r="AX498" s="54">
        <f t="shared" si="58"/>
        <v>0</v>
      </c>
      <c r="AY498" s="185">
        <f t="shared" si="58"/>
        <v>0</v>
      </c>
      <c r="AZ498"/>
      <c r="BA498" s="44" t="str">
        <f t="shared" ca="1" si="56"/>
        <v>VariantAllowances</v>
      </c>
      <c r="BB498" s="44" t="str">
        <f t="shared" si="54"/>
        <v>TO variant allowances</v>
      </c>
      <c r="BC498" s="44" t="str">
        <f t="shared" si="55"/>
        <v>Variant allowances allocation to totex categories</v>
      </c>
    </row>
    <row r="499" spans="4:55">
      <c r="D499">
        <f t="shared" si="50"/>
        <v>1</v>
      </c>
      <c r="E499" s="212" t="str">
        <f t="shared" si="51"/>
        <v>West Import Resilience Project Price Control Deliverable</v>
      </c>
      <c r="G499" s="43" t="str">
        <f t="shared" si="52"/>
        <v>£m 23/24 prices</v>
      </c>
      <c r="H499" s="43" t="str">
        <f t="shared" si="53"/>
        <v>Non-operational capex</v>
      </c>
      <c r="AU499" s="143">
        <f t="shared" si="58"/>
        <v>0</v>
      </c>
      <c r="AV499" s="54">
        <f t="shared" si="58"/>
        <v>0</v>
      </c>
      <c r="AW499" s="54">
        <f t="shared" si="58"/>
        <v>0</v>
      </c>
      <c r="AX499" s="54">
        <f t="shared" si="58"/>
        <v>0</v>
      </c>
      <c r="AY499" s="185">
        <f t="shared" si="58"/>
        <v>0</v>
      </c>
      <c r="AZ499"/>
      <c r="BA499" s="44" t="str">
        <f t="shared" ca="1" si="56"/>
        <v>VariantAllowances</v>
      </c>
      <c r="BB499" s="44" t="str">
        <f t="shared" si="54"/>
        <v>TO variant allowances</v>
      </c>
      <c r="BC499" s="44" t="str">
        <f t="shared" si="55"/>
        <v>Variant allowances allocation to totex categories</v>
      </c>
    </row>
    <row r="500" spans="4:55">
      <c r="D500">
        <f t="shared" si="50"/>
        <v>1</v>
      </c>
      <c r="E500" s="212" t="str">
        <f t="shared" si="51"/>
        <v>West Import Resilience Project Price Control Deliverable</v>
      </c>
      <c r="G500" s="43" t="str">
        <f t="shared" si="52"/>
        <v>£m 23/24 prices</v>
      </c>
      <c r="H500" s="43" t="str">
        <f t="shared" si="53"/>
        <v>Non-load (opex)</v>
      </c>
      <c r="AU500" s="143">
        <f t="shared" si="58"/>
        <v>0</v>
      </c>
      <c r="AV500" s="54">
        <f t="shared" si="58"/>
        <v>0</v>
      </c>
      <c r="AW500" s="54">
        <f t="shared" si="58"/>
        <v>0</v>
      </c>
      <c r="AX500" s="54">
        <f t="shared" si="58"/>
        <v>0</v>
      </c>
      <c r="AY500" s="185">
        <f t="shared" si="58"/>
        <v>0</v>
      </c>
      <c r="AZ500"/>
      <c r="BA500" s="44" t="str">
        <f t="shared" ca="1" si="56"/>
        <v>VariantAllowances</v>
      </c>
      <c r="BB500" s="44" t="str">
        <f t="shared" si="54"/>
        <v>TO variant allowances</v>
      </c>
      <c r="BC500" s="44" t="str">
        <f t="shared" si="55"/>
        <v>Variant allowances allocation to totex categories</v>
      </c>
    </row>
    <row r="501" spans="4:55">
      <c r="D501">
        <f t="shared" si="50"/>
        <v>1</v>
      </c>
      <c r="E501" s="201" t="str">
        <f t="shared" si="51"/>
        <v>West Import Resilience Project Price Control Deliverable</v>
      </c>
      <c r="F501" s="225"/>
      <c r="G501" s="202" t="str">
        <f t="shared" si="52"/>
        <v>£m 23/24 prices</v>
      </c>
      <c r="H501" s="202" t="str">
        <f t="shared" si="53"/>
        <v>Indirects (opex)</v>
      </c>
      <c r="I501" s="202"/>
      <c r="J501" s="202"/>
      <c r="K501" s="202"/>
      <c r="L501" s="202"/>
      <c r="M501" s="202"/>
      <c r="N501" s="202"/>
      <c r="O501" s="202"/>
      <c r="P501" s="202"/>
      <c r="Q501" s="202"/>
      <c r="R501" s="202"/>
      <c r="S501" s="202"/>
      <c r="T501" s="202"/>
      <c r="U501" s="202"/>
      <c r="V501" s="202"/>
      <c r="W501" s="202"/>
      <c r="X501" s="202"/>
      <c r="Y501" s="202"/>
      <c r="Z501" s="202"/>
      <c r="AA501" s="202"/>
      <c r="AB501" s="202"/>
      <c r="AC501" s="202"/>
      <c r="AD501" s="202"/>
      <c r="AE501" s="202"/>
      <c r="AF501" s="202"/>
      <c r="AG501" s="202"/>
      <c r="AH501" s="202"/>
      <c r="AI501" s="202"/>
      <c r="AJ501" s="202"/>
      <c r="AK501" s="202"/>
      <c r="AL501" s="202"/>
      <c r="AM501" s="202"/>
      <c r="AN501" s="202"/>
      <c r="AO501" s="202"/>
      <c r="AP501" s="202"/>
      <c r="AQ501" s="202"/>
      <c r="AR501" s="202"/>
      <c r="AS501" s="202"/>
      <c r="AT501" s="203"/>
      <c r="AU501" s="232">
        <f t="shared" si="58"/>
        <v>0</v>
      </c>
      <c r="AV501" s="233">
        <f t="shared" si="58"/>
        <v>0</v>
      </c>
      <c r="AW501" s="233">
        <f t="shared" si="58"/>
        <v>0</v>
      </c>
      <c r="AX501" s="233">
        <f t="shared" si="58"/>
        <v>0</v>
      </c>
      <c r="AY501" s="234">
        <f t="shared" si="58"/>
        <v>0</v>
      </c>
      <c r="AZ501"/>
      <c r="BA501" s="44" t="str">
        <f t="shared" ca="1" si="56"/>
        <v>VariantAllowances</v>
      </c>
      <c r="BB501" s="44" t="str">
        <f t="shared" si="54"/>
        <v>TO variant allowances</v>
      </c>
      <c r="BC501" s="44" t="str">
        <f t="shared" si="55"/>
        <v>Variant allowances allocation to totex categories</v>
      </c>
    </row>
    <row r="502" spans="4:55">
      <c r="D502">
        <f t="shared" si="50"/>
        <v>2.5</v>
      </c>
      <c r="E502" s="195" t="str">
        <f t="shared" si="51"/>
        <v>West Import Resilience Project Re-opener</v>
      </c>
      <c r="F502" s="221"/>
      <c r="G502" s="196" t="str">
        <f t="shared" si="52"/>
        <v>£m 23/24 prices</v>
      </c>
      <c r="H502" s="196" t="str">
        <f t="shared" si="53"/>
        <v>Load related capex</v>
      </c>
      <c r="I502" s="196"/>
      <c r="J502" s="196"/>
      <c r="K502" s="196"/>
      <c r="L502" s="196"/>
      <c r="M502" s="196"/>
      <c r="N502" s="196"/>
      <c r="O502" s="196"/>
      <c r="P502" s="196"/>
      <c r="Q502" s="196"/>
      <c r="R502" s="196"/>
      <c r="S502" s="196"/>
      <c r="T502" s="196"/>
      <c r="U502" s="196"/>
      <c r="V502" s="196"/>
      <c r="W502" s="196"/>
      <c r="X502" s="196"/>
      <c r="Y502" s="196"/>
      <c r="Z502" s="196"/>
      <c r="AA502" s="196"/>
      <c r="AB502" s="196"/>
      <c r="AC502" s="196"/>
      <c r="AD502" s="196"/>
      <c r="AE502" s="196"/>
      <c r="AF502" s="196"/>
      <c r="AG502" s="196"/>
      <c r="AH502" s="196"/>
      <c r="AI502" s="196"/>
      <c r="AJ502" s="196"/>
      <c r="AK502" s="196"/>
      <c r="AL502" s="196"/>
      <c r="AM502" s="196"/>
      <c r="AN502" s="196"/>
      <c r="AO502" s="196"/>
      <c r="AP502" s="196"/>
      <c r="AQ502" s="196"/>
      <c r="AR502" s="196"/>
      <c r="AS502" s="196"/>
      <c r="AT502" s="197"/>
      <c r="AU502" s="229">
        <f t="shared" si="58"/>
        <v>0</v>
      </c>
      <c r="AV502" s="230">
        <f t="shared" si="58"/>
        <v>0</v>
      </c>
      <c r="AW502" s="230">
        <f t="shared" si="58"/>
        <v>4.1438633008999997</v>
      </c>
      <c r="AX502" s="230">
        <f t="shared" si="58"/>
        <v>5.5312558833999992</v>
      </c>
      <c r="AY502" s="231">
        <f t="shared" si="58"/>
        <v>8.7157826651000008</v>
      </c>
      <c r="AZ502"/>
      <c r="BA502" s="44" t="str">
        <f t="shared" ca="1" si="56"/>
        <v>VariantAllowances</v>
      </c>
      <c r="BB502" s="44" t="str">
        <f t="shared" si="54"/>
        <v>TO variant allowances</v>
      </c>
      <c r="BC502" s="44" t="str">
        <f t="shared" si="55"/>
        <v>Variant allowances allocation to totex categories</v>
      </c>
    </row>
    <row r="503" spans="4:55">
      <c r="D503">
        <f t="shared" si="50"/>
        <v>2.5</v>
      </c>
      <c r="E503" s="212" t="str">
        <f t="shared" si="51"/>
        <v>West Import Resilience Project Re-opener</v>
      </c>
      <c r="G503" s="43" t="str">
        <f t="shared" si="52"/>
        <v>£m 23/24 prices</v>
      </c>
      <c r="H503" s="43" t="str">
        <f t="shared" si="53"/>
        <v>Asset replacement capex</v>
      </c>
      <c r="AU503" s="143">
        <f t="shared" si="58"/>
        <v>0</v>
      </c>
      <c r="AV503" s="54">
        <f t="shared" si="58"/>
        <v>0</v>
      </c>
      <c r="AW503" s="54">
        <f t="shared" si="58"/>
        <v>0</v>
      </c>
      <c r="AX503" s="54">
        <f t="shared" si="58"/>
        <v>0</v>
      </c>
      <c r="AY503" s="185">
        <f t="shared" si="58"/>
        <v>0</v>
      </c>
      <c r="AZ503"/>
      <c r="BA503" s="44" t="str">
        <f t="shared" ca="1" si="56"/>
        <v>VariantAllowances</v>
      </c>
      <c r="BB503" s="44" t="str">
        <f t="shared" si="54"/>
        <v>TO variant allowances</v>
      </c>
      <c r="BC503" s="44" t="str">
        <f t="shared" si="55"/>
        <v>Variant allowances allocation to totex categories</v>
      </c>
    </row>
    <row r="504" spans="4:55">
      <c r="D504">
        <f t="shared" si="50"/>
        <v>2.5</v>
      </c>
      <c r="E504" s="212" t="str">
        <f t="shared" si="51"/>
        <v>West Import Resilience Project Re-opener</v>
      </c>
      <c r="G504" s="43" t="str">
        <f t="shared" si="52"/>
        <v>£m 23/24 prices</v>
      </c>
      <c r="H504" s="43" t="str">
        <f t="shared" si="53"/>
        <v>Other capex</v>
      </c>
      <c r="AU504" s="143">
        <f t="shared" si="58"/>
        <v>0</v>
      </c>
      <c r="AV504" s="54">
        <f t="shared" si="58"/>
        <v>0</v>
      </c>
      <c r="AW504" s="54">
        <f t="shared" si="58"/>
        <v>0</v>
      </c>
      <c r="AX504" s="54">
        <f t="shared" si="58"/>
        <v>0</v>
      </c>
      <c r="AY504" s="185">
        <f t="shared" si="58"/>
        <v>0</v>
      </c>
      <c r="AZ504"/>
      <c r="BA504" s="44" t="str">
        <f t="shared" ca="1" si="56"/>
        <v>VariantAllowances</v>
      </c>
      <c r="BB504" s="44" t="str">
        <f t="shared" si="54"/>
        <v>TO variant allowances</v>
      </c>
      <c r="BC504" s="44" t="str">
        <f t="shared" si="55"/>
        <v>Variant allowances allocation to totex categories</v>
      </c>
    </row>
    <row r="505" spans="4:55">
      <c r="D505">
        <f t="shared" si="50"/>
        <v>2.5</v>
      </c>
      <c r="E505" s="212" t="str">
        <f t="shared" si="51"/>
        <v>West Import Resilience Project Re-opener</v>
      </c>
      <c r="G505" s="43" t="str">
        <f t="shared" si="52"/>
        <v>£m 23/24 prices</v>
      </c>
      <c r="H505" s="43" t="str">
        <f t="shared" si="53"/>
        <v>Non-operational capex</v>
      </c>
      <c r="AU505" s="143">
        <f t="shared" si="58"/>
        <v>0</v>
      </c>
      <c r="AV505" s="54">
        <f t="shared" si="58"/>
        <v>0</v>
      </c>
      <c r="AW505" s="54">
        <f t="shared" si="58"/>
        <v>0</v>
      </c>
      <c r="AX505" s="54">
        <f t="shared" si="58"/>
        <v>0</v>
      </c>
      <c r="AY505" s="185">
        <f t="shared" si="58"/>
        <v>0</v>
      </c>
      <c r="AZ505"/>
      <c r="BA505" s="44" t="str">
        <f t="shared" ca="1" si="56"/>
        <v>VariantAllowances</v>
      </c>
      <c r="BB505" s="44" t="str">
        <f t="shared" si="54"/>
        <v>TO variant allowances</v>
      </c>
      <c r="BC505" s="44" t="str">
        <f t="shared" si="55"/>
        <v>Variant allowances allocation to totex categories</v>
      </c>
    </row>
    <row r="506" spans="4:55">
      <c r="D506">
        <f t="shared" si="50"/>
        <v>2.5</v>
      </c>
      <c r="E506" s="212" t="str">
        <f t="shared" si="51"/>
        <v>West Import Resilience Project Re-opener</v>
      </c>
      <c r="G506" s="43" t="str">
        <f t="shared" si="52"/>
        <v>£m 23/24 prices</v>
      </c>
      <c r="H506" s="43" t="str">
        <f t="shared" si="53"/>
        <v>Non-load (opex)</v>
      </c>
      <c r="AU506" s="143">
        <f t="shared" si="58"/>
        <v>0</v>
      </c>
      <c r="AV506" s="54">
        <f t="shared" si="58"/>
        <v>0</v>
      </c>
      <c r="AW506" s="54">
        <f t="shared" si="58"/>
        <v>0</v>
      </c>
      <c r="AX506" s="54">
        <f t="shared" si="58"/>
        <v>0</v>
      </c>
      <c r="AY506" s="185">
        <f t="shared" si="58"/>
        <v>0</v>
      </c>
      <c r="AZ506"/>
      <c r="BA506" s="44" t="str">
        <f t="shared" ca="1" si="56"/>
        <v>VariantAllowances</v>
      </c>
      <c r="BB506" s="44" t="str">
        <f t="shared" si="54"/>
        <v>TO variant allowances</v>
      </c>
      <c r="BC506" s="44" t="str">
        <f t="shared" si="55"/>
        <v>Variant allowances allocation to totex categories</v>
      </c>
    </row>
    <row r="507" spans="4:55">
      <c r="D507">
        <f t="shared" si="50"/>
        <v>2.5</v>
      </c>
      <c r="E507" s="201" t="str">
        <f t="shared" si="51"/>
        <v>West Import Resilience Project Re-opener</v>
      </c>
      <c r="F507" s="225"/>
      <c r="G507" s="202" t="str">
        <f t="shared" si="52"/>
        <v>£m 23/24 prices</v>
      </c>
      <c r="H507" s="202" t="str">
        <f t="shared" si="53"/>
        <v>Indirects (opex)</v>
      </c>
      <c r="I507" s="202"/>
      <c r="J507" s="202"/>
      <c r="K507" s="202"/>
      <c r="L507" s="202"/>
      <c r="M507" s="202"/>
      <c r="N507" s="202"/>
      <c r="O507" s="202"/>
      <c r="P507" s="202"/>
      <c r="Q507" s="202"/>
      <c r="R507" s="202"/>
      <c r="S507" s="202"/>
      <c r="T507" s="202"/>
      <c r="U507" s="202"/>
      <c r="V507" s="202"/>
      <c r="W507" s="202"/>
      <c r="X507" s="202"/>
      <c r="Y507" s="202"/>
      <c r="Z507" s="202"/>
      <c r="AA507" s="202"/>
      <c r="AB507" s="202"/>
      <c r="AC507" s="202"/>
      <c r="AD507" s="202"/>
      <c r="AE507" s="202"/>
      <c r="AF507" s="202"/>
      <c r="AG507" s="202"/>
      <c r="AH507" s="202"/>
      <c r="AI507" s="202"/>
      <c r="AJ507" s="202"/>
      <c r="AK507" s="202"/>
      <c r="AL507" s="202"/>
      <c r="AM507" s="202"/>
      <c r="AN507" s="202"/>
      <c r="AO507" s="202"/>
      <c r="AP507" s="202"/>
      <c r="AQ507" s="202"/>
      <c r="AR507" s="202"/>
      <c r="AS507" s="202"/>
      <c r="AT507" s="203"/>
      <c r="AU507" s="232">
        <f t="shared" si="58"/>
        <v>0</v>
      </c>
      <c r="AV507" s="233">
        <f t="shared" si="58"/>
        <v>0</v>
      </c>
      <c r="AW507" s="233">
        <f t="shared" si="58"/>
        <v>0</v>
      </c>
      <c r="AX507" s="233">
        <f t="shared" si="58"/>
        <v>0</v>
      </c>
      <c r="AY507" s="234">
        <f t="shared" si="58"/>
        <v>0</v>
      </c>
      <c r="AZ507"/>
      <c r="BA507" s="44" t="str">
        <f t="shared" ca="1" si="56"/>
        <v>VariantAllowances</v>
      </c>
      <c r="BB507" s="44" t="str">
        <f t="shared" si="54"/>
        <v>TO variant allowances</v>
      </c>
      <c r="BC507" s="44" t="str">
        <f t="shared" si="55"/>
        <v>Variant allowances allocation to totex categories</v>
      </c>
    </row>
    <row r="508" spans="4:55">
      <c r="D508">
        <f t="shared" si="50"/>
        <v>2</v>
      </c>
      <c r="E508" s="195" t="str">
        <f t="shared" si="51"/>
        <v>Gas strategic planning re-opener</v>
      </c>
      <c r="F508" s="221"/>
      <c r="G508" s="196" t="str">
        <f t="shared" si="52"/>
        <v>£m 23/24 prices</v>
      </c>
      <c r="H508" s="196" t="str">
        <f t="shared" si="53"/>
        <v>Load related capex</v>
      </c>
      <c r="I508" s="196"/>
      <c r="J508" s="196"/>
      <c r="K508" s="196"/>
      <c r="L508" s="196"/>
      <c r="M508" s="196"/>
      <c r="N508" s="196"/>
      <c r="O508" s="196"/>
      <c r="P508" s="196"/>
      <c r="Q508" s="196"/>
      <c r="R508" s="196"/>
      <c r="S508" s="196"/>
      <c r="T508" s="196"/>
      <c r="U508" s="196"/>
      <c r="V508" s="196"/>
      <c r="W508" s="196"/>
      <c r="X508" s="196"/>
      <c r="Y508" s="196"/>
      <c r="Z508" s="196"/>
      <c r="AA508" s="196"/>
      <c r="AB508" s="196"/>
      <c r="AC508" s="196"/>
      <c r="AD508" s="196"/>
      <c r="AE508" s="196"/>
      <c r="AF508" s="196"/>
      <c r="AG508" s="196"/>
      <c r="AH508" s="196"/>
      <c r="AI508" s="196"/>
      <c r="AJ508" s="196"/>
      <c r="AK508" s="196"/>
      <c r="AL508" s="196"/>
      <c r="AM508" s="196"/>
      <c r="AN508" s="196"/>
      <c r="AO508" s="196"/>
      <c r="AP508" s="196"/>
      <c r="AQ508" s="196"/>
      <c r="AR508" s="196"/>
      <c r="AS508" s="196"/>
      <c r="AT508" s="197"/>
      <c r="AU508" s="229">
        <f t="shared" ref="AU508:AY517" si="59">INDEX(AU$8:AU$50,MATCH($E508,$E$8:$E$50,0))*AU248</f>
        <v>0</v>
      </c>
      <c r="AV508" s="230">
        <f t="shared" si="59"/>
        <v>0</v>
      </c>
      <c r="AW508" s="230">
        <f t="shared" si="59"/>
        <v>0</v>
      </c>
      <c r="AX508" s="230">
        <f t="shared" si="59"/>
        <v>0</v>
      </c>
      <c r="AY508" s="231">
        <f t="shared" si="59"/>
        <v>0</v>
      </c>
      <c r="AZ508"/>
      <c r="BA508" s="44" t="str">
        <f t="shared" ca="1" si="56"/>
        <v>VariantAllowances</v>
      </c>
      <c r="BB508" s="44" t="str">
        <f t="shared" si="54"/>
        <v>TO variant allowances</v>
      </c>
      <c r="BC508" s="44" t="str">
        <f t="shared" si="55"/>
        <v>Variant allowances allocation to totex categories</v>
      </c>
    </row>
    <row r="509" spans="4:55">
      <c r="D509">
        <f t="shared" si="50"/>
        <v>2</v>
      </c>
      <c r="E509" s="212" t="str">
        <f t="shared" si="51"/>
        <v>Gas strategic planning re-opener</v>
      </c>
      <c r="G509" s="43" t="str">
        <f t="shared" si="52"/>
        <v>£m 23/24 prices</v>
      </c>
      <c r="H509" s="43" t="str">
        <f t="shared" si="53"/>
        <v>Asset replacement capex</v>
      </c>
      <c r="AU509" s="143">
        <f t="shared" si="59"/>
        <v>0</v>
      </c>
      <c r="AV509" s="54">
        <f t="shared" si="59"/>
        <v>53.986377270000006</v>
      </c>
      <c r="AW509" s="54">
        <f t="shared" si="59"/>
        <v>92.791417719999998</v>
      </c>
      <c r="AX509" s="54">
        <f t="shared" si="59"/>
        <v>26.203052849999999</v>
      </c>
      <c r="AY509" s="185">
        <f t="shared" si="59"/>
        <v>45.592342440000003</v>
      </c>
      <c r="AZ509"/>
      <c r="BA509" s="44" t="str">
        <f t="shared" ca="1" si="56"/>
        <v>VariantAllowances</v>
      </c>
      <c r="BB509" s="44" t="str">
        <f t="shared" si="54"/>
        <v>TO variant allowances</v>
      </c>
      <c r="BC509" s="44" t="str">
        <f t="shared" si="55"/>
        <v>Variant allowances allocation to totex categories</v>
      </c>
    </row>
    <row r="510" spans="4:55">
      <c r="D510">
        <f t="shared" si="50"/>
        <v>2</v>
      </c>
      <c r="E510" s="212" t="str">
        <f t="shared" si="51"/>
        <v>Gas strategic planning re-opener</v>
      </c>
      <c r="G510" s="43" t="str">
        <f t="shared" si="52"/>
        <v>£m 23/24 prices</v>
      </c>
      <c r="H510" s="43" t="str">
        <f t="shared" si="53"/>
        <v>Other capex</v>
      </c>
      <c r="AU510" s="143">
        <f t="shared" si="59"/>
        <v>0</v>
      </c>
      <c r="AV510" s="54">
        <f t="shared" si="59"/>
        <v>0</v>
      </c>
      <c r="AW510" s="54">
        <f t="shared" si="59"/>
        <v>0</v>
      </c>
      <c r="AX510" s="54">
        <f t="shared" si="59"/>
        <v>0</v>
      </c>
      <c r="AY510" s="185">
        <f t="shared" si="59"/>
        <v>0</v>
      </c>
      <c r="AZ510"/>
      <c r="BA510" s="44" t="str">
        <f t="shared" ca="1" si="56"/>
        <v>VariantAllowances</v>
      </c>
      <c r="BB510" s="44" t="str">
        <f t="shared" si="54"/>
        <v>TO variant allowances</v>
      </c>
      <c r="BC510" s="44" t="str">
        <f t="shared" si="55"/>
        <v>Variant allowances allocation to totex categories</v>
      </c>
    </row>
    <row r="511" spans="4:55">
      <c r="D511">
        <f t="shared" si="50"/>
        <v>2</v>
      </c>
      <c r="E511" s="212" t="str">
        <f t="shared" si="51"/>
        <v>Gas strategic planning re-opener</v>
      </c>
      <c r="G511" s="43" t="str">
        <f t="shared" si="52"/>
        <v>£m 23/24 prices</v>
      </c>
      <c r="H511" s="43" t="str">
        <f t="shared" si="53"/>
        <v>Non-operational capex</v>
      </c>
      <c r="AU511" s="143">
        <f t="shared" si="59"/>
        <v>0</v>
      </c>
      <c r="AV511" s="54">
        <f t="shared" si="59"/>
        <v>0</v>
      </c>
      <c r="AW511" s="54">
        <f t="shared" si="59"/>
        <v>0</v>
      </c>
      <c r="AX511" s="54">
        <f t="shared" si="59"/>
        <v>0</v>
      </c>
      <c r="AY511" s="185">
        <f t="shared" si="59"/>
        <v>0</v>
      </c>
      <c r="AZ511"/>
      <c r="BA511" s="44" t="str">
        <f t="shared" ca="1" si="56"/>
        <v>VariantAllowances</v>
      </c>
      <c r="BB511" s="44" t="str">
        <f t="shared" si="54"/>
        <v>TO variant allowances</v>
      </c>
      <c r="BC511" s="44" t="str">
        <f t="shared" si="55"/>
        <v>Variant allowances allocation to totex categories</v>
      </c>
    </row>
    <row r="512" spans="4:55">
      <c r="D512">
        <f t="shared" si="50"/>
        <v>2</v>
      </c>
      <c r="E512" s="212" t="str">
        <f t="shared" si="51"/>
        <v>Gas strategic planning re-opener</v>
      </c>
      <c r="G512" s="43" t="str">
        <f t="shared" si="52"/>
        <v>£m 23/24 prices</v>
      </c>
      <c r="H512" s="43" t="str">
        <f t="shared" si="53"/>
        <v>Non-load (opex)</v>
      </c>
      <c r="AU512" s="143">
        <f t="shared" si="59"/>
        <v>0</v>
      </c>
      <c r="AV512" s="54">
        <f t="shared" si="59"/>
        <v>0</v>
      </c>
      <c r="AW512" s="54">
        <f t="shared" si="59"/>
        <v>0</v>
      </c>
      <c r="AX512" s="54">
        <f t="shared" si="59"/>
        <v>0</v>
      </c>
      <c r="AY512" s="185">
        <f t="shared" si="59"/>
        <v>0</v>
      </c>
      <c r="AZ512"/>
      <c r="BA512" s="44" t="str">
        <f t="shared" ca="1" si="56"/>
        <v>VariantAllowances</v>
      </c>
      <c r="BB512" s="44" t="str">
        <f t="shared" si="54"/>
        <v>TO variant allowances</v>
      </c>
      <c r="BC512" s="44" t="str">
        <f t="shared" si="55"/>
        <v>Variant allowances allocation to totex categories</v>
      </c>
    </row>
    <row r="513" spans="4:55">
      <c r="D513">
        <f t="shared" si="50"/>
        <v>2</v>
      </c>
      <c r="E513" s="201" t="str">
        <f t="shared" si="51"/>
        <v>Gas strategic planning re-opener</v>
      </c>
      <c r="F513" s="225"/>
      <c r="G513" s="202" t="str">
        <f t="shared" si="52"/>
        <v>£m 23/24 prices</v>
      </c>
      <c r="H513" s="202" t="str">
        <f t="shared" si="53"/>
        <v>Indirects (opex)</v>
      </c>
      <c r="I513" s="202"/>
      <c r="J513" s="202"/>
      <c r="K513" s="202"/>
      <c r="L513" s="202"/>
      <c r="M513" s="202"/>
      <c r="N513" s="202"/>
      <c r="O513" s="202"/>
      <c r="P513" s="202"/>
      <c r="Q513" s="202"/>
      <c r="R513" s="202"/>
      <c r="S513" s="202"/>
      <c r="T513" s="202"/>
      <c r="U513" s="202"/>
      <c r="V513" s="202"/>
      <c r="W513" s="202"/>
      <c r="X513" s="202"/>
      <c r="Y513" s="202"/>
      <c r="Z513" s="202"/>
      <c r="AA513" s="202"/>
      <c r="AB513" s="202"/>
      <c r="AC513" s="202"/>
      <c r="AD513" s="202"/>
      <c r="AE513" s="202"/>
      <c r="AF513" s="202"/>
      <c r="AG513" s="202"/>
      <c r="AH513" s="202"/>
      <c r="AI513" s="202"/>
      <c r="AJ513" s="202"/>
      <c r="AK513" s="202"/>
      <c r="AL513" s="202"/>
      <c r="AM513" s="202"/>
      <c r="AN513" s="202"/>
      <c r="AO513" s="202"/>
      <c r="AP513" s="202"/>
      <c r="AQ513" s="202"/>
      <c r="AR513" s="202"/>
      <c r="AS513" s="202"/>
      <c r="AT513" s="203"/>
      <c r="AU513" s="232">
        <f t="shared" si="59"/>
        <v>0</v>
      </c>
      <c r="AV513" s="233">
        <f t="shared" si="59"/>
        <v>0</v>
      </c>
      <c r="AW513" s="233">
        <f t="shared" si="59"/>
        <v>0</v>
      </c>
      <c r="AX513" s="233">
        <f t="shared" si="59"/>
        <v>0</v>
      </c>
      <c r="AY513" s="234">
        <f t="shared" si="59"/>
        <v>0</v>
      </c>
      <c r="AZ513"/>
      <c r="BA513" s="44" t="str">
        <f t="shared" ca="1" si="56"/>
        <v>VariantAllowances</v>
      </c>
      <c r="BB513" s="44" t="str">
        <f t="shared" si="54"/>
        <v>TO variant allowances</v>
      </c>
      <c r="BC513" s="44" t="str">
        <f t="shared" si="55"/>
        <v>Variant allowances allocation to totex categories</v>
      </c>
    </row>
    <row r="514" spans="4:55">
      <c r="D514">
        <f t="shared" si="50"/>
        <v>2.5</v>
      </c>
      <c r="E514" s="195" t="str">
        <f t="shared" si="51"/>
        <v>Office and Gas National Control Centre and Emergency Control Room Relocation Re-opener</v>
      </c>
      <c r="F514" s="221"/>
      <c r="G514" s="196" t="str">
        <f t="shared" si="52"/>
        <v>£m 23/24 prices</v>
      </c>
      <c r="H514" s="196" t="str">
        <f t="shared" si="53"/>
        <v>Load related capex</v>
      </c>
      <c r="I514" s="196"/>
      <c r="J514" s="196"/>
      <c r="K514" s="196"/>
      <c r="L514" s="196"/>
      <c r="M514" s="196"/>
      <c r="N514" s="196"/>
      <c r="O514" s="196"/>
      <c r="P514" s="196"/>
      <c r="Q514" s="196"/>
      <c r="R514" s="196"/>
      <c r="S514" s="196"/>
      <c r="T514" s="196"/>
      <c r="U514" s="196"/>
      <c r="V514" s="196"/>
      <c r="W514" s="196"/>
      <c r="X514" s="196"/>
      <c r="Y514" s="196"/>
      <c r="Z514" s="196"/>
      <c r="AA514" s="196"/>
      <c r="AB514" s="196"/>
      <c r="AC514" s="196"/>
      <c r="AD514" s="196"/>
      <c r="AE514" s="196"/>
      <c r="AF514" s="196"/>
      <c r="AG514" s="196"/>
      <c r="AH514" s="196"/>
      <c r="AI514" s="196"/>
      <c r="AJ514" s="196"/>
      <c r="AK514" s="196"/>
      <c r="AL514" s="196"/>
      <c r="AM514" s="196"/>
      <c r="AN514" s="196"/>
      <c r="AO514" s="196"/>
      <c r="AP514" s="196"/>
      <c r="AQ514" s="196"/>
      <c r="AR514" s="196"/>
      <c r="AS514" s="196"/>
      <c r="AT514" s="197"/>
      <c r="AU514" s="229">
        <f t="shared" si="59"/>
        <v>0</v>
      </c>
      <c r="AV514" s="230">
        <f t="shared" si="59"/>
        <v>0</v>
      </c>
      <c r="AW514" s="230">
        <f t="shared" si="59"/>
        <v>0</v>
      </c>
      <c r="AX514" s="230">
        <f t="shared" si="59"/>
        <v>0</v>
      </c>
      <c r="AY514" s="231">
        <f t="shared" si="59"/>
        <v>0</v>
      </c>
      <c r="AZ514"/>
      <c r="BA514" s="44" t="str">
        <f t="shared" ca="1" si="56"/>
        <v>VariantAllowances</v>
      </c>
      <c r="BB514" s="44" t="str">
        <f t="shared" si="54"/>
        <v>TO variant allowances</v>
      </c>
      <c r="BC514" s="44" t="str">
        <f t="shared" si="55"/>
        <v>Variant allowances allocation to totex categories</v>
      </c>
    </row>
    <row r="515" spans="4:55">
      <c r="D515">
        <f t="shared" si="50"/>
        <v>2.5</v>
      </c>
      <c r="E515" s="212" t="str">
        <f t="shared" si="51"/>
        <v>Office and Gas National Control Centre and Emergency Control Room Relocation Re-opener</v>
      </c>
      <c r="G515" s="43" t="str">
        <f t="shared" si="52"/>
        <v>£m 23/24 prices</v>
      </c>
      <c r="H515" s="43" t="str">
        <f t="shared" si="53"/>
        <v>Asset replacement capex</v>
      </c>
      <c r="AU515" s="143">
        <f t="shared" si="59"/>
        <v>0</v>
      </c>
      <c r="AV515" s="54">
        <f t="shared" si="59"/>
        <v>0</v>
      </c>
      <c r="AW515" s="54">
        <f t="shared" si="59"/>
        <v>0</v>
      </c>
      <c r="AX515" s="54">
        <f t="shared" si="59"/>
        <v>0</v>
      </c>
      <c r="AY515" s="185">
        <f t="shared" si="59"/>
        <v>0</v>
      </c>
      <c r="AZ515"/>
      <c r="BA515" s="44" t="str">
        <f t="shared" ca="1" si="56"/>
        <v>VariantAllowances</v>
      </c>
      <c r="BB515" s="44" t="str">
        <f t="shared" si="54"/>
        <v>TO variant allowances</v>
      </c>
      <c r="BC515" s="44" t="str">
        <f t="shared" si="55"/>
        <v>Variant allowances allocation to totex categories</v>
      </c>
    </row>
    <row r="516" spans="4:55">
      <c r="D516">
        <f t="shared" si="50"/>
        <v>2.5</v>
      </c>
      <c r="E516" s="212" t="str">
        <f t="shared" si="51"/>
        <v>Office and Gas National Control Centre and Emergency Control Room Relocation Re-opener</v>
      </c>
      <c r="G516" s="43" t="str">
        <f t="shared" si="52"/>
        <v>£m 23/24 prices</v>
      </c>
      <c r="H516" s="43" t="str">
        <f t="shared" si="53"/>
        <v>Other capex</v>
      </c>
      <c r="AU516" s="143">
        <f t="shared" si="59"/>
        <v>0</v>
      </c>
      <c r="AV516" s="54">
        <f t="shared" si="59"/>
        <v>0</v>
      </c>
      <c r="AW516" s="54">
        <f t="shared" si="59"/>
        <v>0</v>
      </c>
      <c r="AX516" s="54">
        <f t="shared" si="59"/>
        <v>0</v>
      </c>
      <c r="AY516" s="185">
        <f t="shared" si="59"/>
        <v>0</v>
      </c>
      <c r="AZ516"/>
      <c r="BA516" s="44" t="str">
        <f t="shared" ca="1" si="56"/>
        <v>VariantAllowances</v>
      </c>
      <c r="BB516" s="44" t="str">
        <f t="shared" si="54"/>
        <v>TO variant allowances</v>
      </c>
      <c r="BC516" s="44" t="str">
        <f t="shared" si="55"/>
        <v>Variant allowances allocation to totex categories</v>
      </c>
    </row>
    <row r="517" spans="4:55">
      <c r="D517">
        <f t="shared" si="50"/>
        <v>2.5</v>
      </c>
      <c r="E517" s="212" t="str">
        <f t="shared" si="51"/>
        <v>Office and Gas National Control Centre and Emergency Control Room Relocation Re-opener</v>
      </c>
      <c r="G517" s="43" t="str">
        <f t="shared" si="52"/>
        <v>£m 23/24 prices</v>
      </c>
      <c r="H517" s="43" t="str">
        <f t="shared" si="53"/>
        <v>Non-operational capex</v>
      </c>
      <c r="AU517" s="143">
        <f t="shared" si="59"/>
        <v>3.9774560287488208</v>
      </c>
      <c r="AV517" s="54">
        <f t="shared" si="59"/>
        <v>15.031516864081985</v>
      </c>
      <c r="AW517" s="54">
        <f t="shared" si="59"/>
        <v>26.03780420456145</v>
      </c>
      <c r="AX517" s="54">
        <f t="shared" si="59"/>
        <v>6.6426575517922135</v>
      </c>
      <c r="AY517" s="185">
        <f t="shared" si="59"/>
        <v>0.41059197630307315</v>
      </c>
      <c r="AZ517"/>
      <c r="BA517" s="44" t="str">
        <f t="shared" ca="1" si="56"/>
        <v>VariantAllowances</v>
      </c>
      <c r="BB517" s="44" t="str">
        <f t="shared" si="54"/>
        <v>TO variant allowances</v>
      </c>
      <c r="BC517" s="44" t="str">
        <f t="shared" si="55"/>
        <v>Variant allowances allocation to totex categories</v>
      </c>
    </row>
    <row r="518" spans="4:55">
      <c r="D518">
        <f t="shared" si="50"/>
        <v>2.5</v>
      </c>
      <c r="E518" s="212" t="str">
        <f t="shared" si="51"/>
        <v>Office and Gas National Control Centre and Emergency Control Room Relocation Re-opener</v>
      </c>
      <c r="G518" s="43" t="str">
        <f t="shared" si="52"/>
        <v>£m 23/24 prices</v>
      </c>
      <c r="H518" s="43" t="str">
        <f t="shared" si="53"/>
        <v>Non-load (opex)</v>
      </c>
      <c r="AU518" s="143">
        <f t="shared" ref="AU518:AY527" si="60">INDEX(AU$8:AU$50,MATCH($E518,$E$8:$E$50,0))*AU258</f>
        <v>0</v>
      </c>
      <c r="AV518" s="54">
        <f t="shared" si="60"/>
        <v>0</v>
      </c>
      <c r="AW518" s="54">
        <f t="shared" si="60"/>
        <v>0</v>
      </c>
      <c r="AX518" s="54">
        <f t="shared" si="60"/>
        <v>0</v>
      </c>
      <c r="AY518" s="185">
        <f t="shared" si="60"/>
        <v>0</v>
      </c>
      <c r="AZ518"/>
      <c r="BA518" s="44" t="str">
        <f t="shared" ca="1" si="56"/>
        <v>VariantAllowances</v>
      </c>
      <c r="BB518" s="44" t="str">
        <f t="shared" si="54"/>
        <v>TO variant allowances</v>
      </c>
      <c r="BC518" s="44" t="str">
        <f t="shared" si="55"/>
        <v>Variant allowances allocation to totex categories</v>
      </c>
    </row>
    <row r="519" spans="4:55">
      <c r="D519">
        <f t="shared" si="50"/>
        <v>2.5</v>
      </c>
      <c r="E519" s="201" t="str">
        <f t="shared" si="51"/>
        <v>Office and Gas National Control Centre and Emergency Control Room Relocation Re-opener</v>
      </c>
      <c r="F519" s="225"/>
      <c r="G519" s="202" t="str">
        <f t="shared" si="52"/>
        <v>£m 23/24 prices</v>
      </c>
      <c r="H519" s="202" t="str">
        <f t="shared" si="53"/>
        <v>Indirects (opex)</v>
      </c>
      <c r="I519" s="202"/>
      <c r="J519" s="202"/>
      <c r="K519" s="202"/>
      <c r="L519" s="202"/>
      <c r="M519" s="202"/>
      <c r="N519" s="202"/>
      <c r="O519" s="202"/>
      <c r="P519" s="202"/>
      <c r="Q519" s="202"/>
      <c r="R519" s="202"/>
      <c r="S519" s="202"/>
      <c r="T519" s="202"/>
      <c r="U519" s="202"/>
      <c r="V519" s="202"/>
      <c r="W519" s="202"/>
      <c r="X519" s="202"/>
      <c r="Y519" s="202"/>
      <c r="Z519" s="202"/>
      <c r="AA519" s="202"/>
      <c r="AB519" s="202"/>
      <c r="AC519" s="202"/>
      <c r="AD519" s="202"/>
      <c r="AE519" s="202"/>
      <c r="AF519" s="202"/>
      <c r="AG519" s="202"/>
      <c r="AH519" s="202"/>
      <c r="AI519" s="202"/>
      <c r="AJ519" s="202"/>
      <c r="AK519" s="202"/>
      <c r="AL519" s="202"/>
      <c r="AM519" s="202"/>
      <c r="AN519" s="202"/>
      <c r="AO519" s="202"/>
      <c r="AP519" s="202"/>
      <c r="AQ519" s="202"/>
      <c r="AR519" s="202"/>
      <c r="AS519" s="202"/>
      <c r="AT519" s="203"/>
      <c r="AU519" s="232">
        <f t="shared" si="60"/>
        <v>0</v>
      </c>
      <c r="AV519" s="233">
        <f t="shared" si="60"/>
        <v>0</v>
      </c>
      <c r="AW519" s="233">
        <f t="shared" si="60"/>
        <v>0.32661128015910845</v>
      </c>
      <c r="AX519" s="233">
        <f t="shared" si="60"/>
        <v>3.4747581661517151</v>
      </c>
      <c r="AY519" s="234">
        <f t="shared" si="60"/>
        <v>2.4230976443476799</v>
      </c>
      <c r="AZ519"/>
      <c r="BA519" s="44" t="str">
        <f t="shared" ca="1" si="56"/>
        <v>VariantAllowances</v>
      </c>
      <c r="BB519" s="44" t="str">
        <f t="shared" si="54"/>
        <v>TO variant allowances</v>
      </c>
      <c r="BC519" s="44" t="str">
        <f t="shared" si="55"/>
        <v>Variant allowances allocation to totex categories</v>
      </c>
    </row>
    <row r="520" spans="4:55">
      <c r="D520">
        <f t="shared" si="50"/>
        <v>2.5</v>
      </c>
      <c r="E520" s="195" t="str">
        <f t="shared" si="51"/>
        <v>Network capability re-opener</v>
      </c>
      <c r="F520" s="221"/>
      <c r="G520" s="196" t="str">
        <f t="shared" si="52"/>
        <v>£m 23/24 prices</v>
      </c>
      <c r="H520" s="196" t="str">
        <f t="shared" si="53"/>
        <v>Load related capex</v>
      </c>
      <c r="I520" s="196"/>
      <c r="J520" s="196"/>
      <c r="K520" s="196"/>
      <c r="L520" s="196"/>
      <c r="M520" s="196"/>
      <c r="N520" s="196"/>
      <c r="O520" s="196"/>
      <c r="P520" s="196"/>
      <c r="Q520" s="196"/>
      <c r="R520" s="196"/>
      <c r="S520" s="196"/>
      <c r="T520" s="196"/>
      <c r="U520" s="196"/>
      <c r="V520" s="196"/>
      <c r="W520" s="196"/>
      <c r="X520" s="196"/>
      <c r="Y520" s="196"/>
      <c r="Z520" s="196"/>
      <c r="AA520" s="196"/>
      <c r="AB520" s="196"/>
      <c r="AC520" s="196"/>
      <c r="AD520" s="196"/>
      <c r="AE520" s="196"/>
      <c r="AF520" s="196"/>
      <c r="AG520" s="196"/>
      <c r="AH520" s="196"/>
      <c r="AI520" s="196"/>
      <c r="AJ520" s="196"/>
      <c r="AK520" s="196"/>
      <c r="AL520" s="196"/>
      <c r="AM520" s="196"/>
      <c r="AN520" s="196"/>
      <c r="AO520" s="196"/>
      <c r="AP520" s="196"/>
      <c r="AQ520" s="196"/>
      <c r="AR520" s="196"/>
      <c r="AS520" s="196"/>
      <c r="AT520" s="197"/>
      <c r="AU520" s="229">
        <f t="shared" si="60"/>
        <v>0</v>
      </c>
      <c r="AV520" s="230">
        <f t="shared" si="60"/>
        <v>0</v>
      </c>
      <c r="AW520" s="230">
        <f t="shared" si="60"/>
        <v>0</v>
      </c>
      <c r="AX520" s="230">
        <f t="shared" si="60"/>
        <v>0</v>
      </c>
      <c r="AY520" s="231">
        <f t="shared" si="60"/>
        <v>0</v>
      </c>
      <c r="AZ520"/>
      <c r="BA520" s="44" t="str">
        <f t="shared" ca="1" si="56"/>
        <v>VariantAllowances</v>
      </c>
      <c r="BB520" s="44" t="str">
        <f t="shared" si="54"/>
        <v>TO variant allowances</v>
      </c>
      <c r="BC520" s="44" t="str">
        <f t="shared" si="55"/>
        <v>Variant allowances allocation to totex categories</v>
      </c>
    </row>
    <row r="521" spans="4:55">
      <c r="D521">
        <f t="shared" si="50"/>
        <v>2.5</v>
      </c>
      <c r="E521" s="212" t="str">
        <f t="shared" si="51"/>
        <v>Network capability re-opener</v>
      </c>
      <c r="G521" s="43" t="str">
        <f t="shared" si="52"/>
        <v>£m 23/24 prices</v>
      </c>
      <c r="H521" s="43" t="str">
        <f t="shared" si="53"/>
        <v>Asset replacement capex</v>
      </c>
      <c r="AU521" s="143">
        <f t="shared" si="60"/>
        <v>33.394580180000005</v>
      </c>
      <c r="AV521" s="54">
        <f t="shared" si="60"/>
        <v>85.826577400000005</v>
      </c>
      <c r="AW521" s="54">
        <f t="shared" si="60"/>
        <v>48.465610490000003</v>
      </c>
      <c r="AX521" s="54">
        <f t="shared" si="60"/>
        <v>39.579892129999998</v>
      </c>
      <c r="AY521" s="185">
        <f t="shared" si="60"/>
        <v>31.828356120000002</v>
      </c>
      <c r="AZ521"/>
      <c r="BA521" s="44" t="str">
        <f t="shared" ca="1" si="56"/>
        <v>VariantAllowances</v>
      </c>
      <c r="BB521" s="44" t="str">
        <f t="shared" si="54"/>
        <v>TO variant allowances</v>
      </c>
      <c r="BC521" s="44" t="str">
        <f t="shared" si="55"/>
        <v>Variant allowances allocation to totex categories</v>
      </c>
    </row>
    <row r="522" spans="4:55">
      <c r="D522">
        <f t="shared" si="50"/>
        <v>2.5</v>
      </c>
      <c r="E522" s="212" t="str">
        <f t="shared" si="51"/>
        <v>Network capability re-opener</v>
      </c>
      <c r="G522" s="43" t="str">
        <f t="shared" si="52"/>
        <v>£m 23/24 prices</v>
      </c>
      <c r="H522" s="43" t="str">
        <f t="shared" si="53"/>
        <v>Other capex</v>
      </c>
      <c r="AU522" s="143">
        <f t="shared" si="60"/>
        <v>0</v>
      </c>
      <c r="AV522" s="54">
        <f t="shared" si="60"/>
        <v>0</v>
      </c>
      <c r="AW522" s="54">
        <f t="shared" si="60"/>
        <v>0</v>
      </c>
      <c r="AX522" s="54">
        <f t="shared" si="60"/>
        <v>0</v>
      </c>
      <c r="AY522" s="185">
        <f t="shared" si="60"/>
        <v>0</v>
      </c>
      <c r="AZ522"/>
      <c r="BA522" s="44" t="str">
        <f t="shared" ca="1" si="56"/>
        <v>VariantAllowances</v>
      </c>
      <c r="BB522" s="44" t="str">
        <f t="shared" si="54"/>
        <v>TO variant allowances</v>
      </c>
      <c r="BC522" s="44" t="str">
        <f t="shared" si="55"/>
        <v>Variant allowances allocation to totex categories</v>
      </c>
    </row>
    <row r="523" spans="4:55">
      <c r="D523">
        <f t="shared" si="50"/>
        <v>2.5</v>
      </c>
      <c r="E523" s="212" t="str">
        <f t="shared" si="51"/>
        <v>Network capability re-opener</v>
      </c>
      <c r="G523" s="43" t="str">
        <f t="shared" si="52"/>
        <v>£m 23/24 prices</v>
      </c>
      <c r="H523" s="43" t="str">
        <f t="shared" si="53"/>
        <v>Non-operational capex</v>
      </c>
      <c r="AU523" s="143">
        <f t="shared" si="60"/>
        <v>0</v>
      </c>
      <c r="AV523" s="54">
        <f t="shared" si="60"/>
        <v>0</v>
      </c>
      <c r="AW523" s="54">
        <f t="shared" si="60"/>
        <v>0</v>
      </c>
      <c r="AX523" s="54">
        <f t="shared" si="60"/>
        <v>0</v>
      </c>
      <c r="AY523" s="185">
        <f t="shared" si="60"/>
        <v>0</v>
      </c>
      <c r="AZ523"/>
      <c r="BA523" s="44" t="str">
        <f t="shared" ca="1" si="56"/>
        <v>VariantAllowances</v>
      </c>
      <c r="BB523" s="44" t="str">
        <f t="shared" si="54"/>
        <v>TO variant allowances</v>
      </c>
      <c r="BC523" s="44" t="str">
        <f t="shared" si="55"/>
        <v>Variant allowances allocation to totex categories</v>
      </c>
    </row>
    <row r="524" spans="4:55">
      <c r="D524">
        <f t="shared" si="50"/>
        <v>2.5</v>
      </c>
      <c r="E524" s="212" t="str">
        <f t="shared" si="51"/>
        <v>Network capability re-opener</v>
      </c>
      <c r="G524" s="43" t="str">
        <f t="shared" si="52"/>
        <v>£m 23/24 prices</v>
      </c>
      <c r="H524" s="43" t="str">
        <f t="shared" si="53"/>
        <v>Non-load (opex)</v>
      </c>
      <c r="AU524" s="143">
        <f t="shared" si="60"/>
        <v>0</v>
      </c>
      <c r="AV524" s="54">
        <f t="shared" si="60"/>
        <v>0</v>
      </c>
      <c r="AW524" s="54">
        <f t="shared" si="60"/>
        <v>0</v>
      </c>
      <c r="AX524" s="54">
        <f t="shared" si="60"/>
        <v>0</v>
      </c>
      <c r="AY524" s="185">
        <f t="shared" si="60"/>
        <v>0</v>
      </c>
      <c r="AZ524"/>
      <c r="BA524" s="44" t="str">
        <f t="shared" ca="1" si="56"/>
        <v>VariantAllowances</v>
      </c>
      <c r="BB524" s="44" t="str">
        <f t="shared" si="54"/>
        <v>TO variant allowances</v>
      </c>
      <c r="BC524" s="44" t="str">
        <f t="shared" si="55"/>
        <v>Variant allowances allocation to totex categories</v>
      </c>
    </row>
    <row r="525" spans="4:55">
      <c r="D525">
        <f t="shared" si="50"/>
        <v>2.5</v>
      </c>
      <c r="E525" s="201" t="str">
        <f t="shared" si="51"/>
        <v>Network capability re-opener</v>
      </c>
      <c r="F525" s="225"/>
      <c r="G525" s="202" t="str">
        <f t="shared" si="52"/>
        <v>£m 23/24 prices</v>
      </c>
      <c r="H525" s="202" t="str">
        <f t="shared" si="53"/>
        <v>Indirects (opex)</v>
      </c>
      <c r="I525" s="202"/>
      <c r="J525" s="202"/>
      <c r="K525" s="202"/>
      <c r="L525" s="202"/>
      <c r="M525" s="202"/>
      <c r="N525" s="202"/>
      <c r="O525" s="202"/>
      <c r="P525" s="202"/>
      <c r="Q525" s="202"/>
      <c r="R525" s="202"/>
      <c r="S525" s="202"/>
      <c r="T525" s="202"/>
      <c r="U525" s="202"/>
      <c r="V525" s="202"/>
      <c r="W525" s="202"/>
      <c r="X525" s="202"/>
      <c r="Y525" s="202"/>
      <c r="Z525" s="202"/>
      <c r="AA525" s="202"/>
      <c r="AB525" s="202"/>
      <c r="AC525" s="202"/>
      <c r="AD525" s="202"/>
      <c r="AE525" s="202"/>
      <c r="AF525" s="202"/>
      <c r="AG525" s="202"/>
      <c r="AH525" s="202"/>
      <c r="AI525" s="202"/>
      <c r="AJ525" s="202"/>
      <c r="AK525" s="202"/>
      <c r="AL525" s="202"/>
      <c r="AM525" s="202"/>
      <c r="AN525" s="202"/>
      <c r="AO525" s="202"/>
      <c r="AP525" s="202"/>
      <c r="AQ525" s="202"/>
      <c r="AR525" s="202"/>
      <c r="AS525" s="202"/>
      <c r="AT525" s="203"/>
      <c r="AU525" s="232">
        <f t="shared" si="60"/>
        <v>0</v>
      </c>
      <c r="AV525" s="233">
        <f t="shared" si="60"/>
        <v>0</v>
      </c>
      <c r="AW525" s="233">
        <f t="shared" si="60"/>
        <v>0</v>
      </c>
      <c r="AX525" s="233">
        <f t="shared" si="60"/>
        <v>0</v>
      </c>
      <c r="AY525" s="234">
        <f t="shared" si="60"/>
        <v>0</v>
      </c>
      <c r="AZ525"/>
      <c r="BA525" s="44" t="str">
        <f t="shared" ca="1" si="56"/>
        <v>VariantAllowances</v>
      </c>
      <c r="BB525" s="44" t="str">
        <f t="shared" si="54"/>
        <v>TO variant allowances</v>
      </c>
      <c r="BC525" s="44" t="str">
        <f t="shared" si="55"/>
        <v>Variant allowances allocation to totex categories</v>
      </c>
    </row>
    <row r="526" spans="4:55">
      <c r="D526">
        <f t="shared" si="50"/>
        <v>2.5</v>
      </c>
      <c r="E526" s="195" t="str">
        <f t="shared" si="51"/>
        <v>Bacton Enhanced Filtration re-opener</v>
      </c>
      <c r="F526" s="221"/>
      <c r="G526" s="196" t="str">
        <f t="shared" si="52"/>
        <v>£m 23/24 prices</v>
      </c>
      <c r="H526" s="196" t="str">
        <f t="shared" si="53"/>
        <v>Load related capex</v>
      </c>
      <c r="I526" s="196"/>
      <c r="J526" s="196"/>
      <c r="K526" s="196"/>
      <c r="L526" s="196"/>
      <c r="M526" s="196"/>
      <c r="N526" s="196"/>
      <c r="O526" s="196"/>
      <c r="P526" s="196"/>
      <c r="Q526" s="196"/>
      <c r="R526" s="196"/>
      <c r="S526" s="196"/>
      <c r="T526" s="196"/>
      <c r="U526" s="196"/>
      <c r="V526" s="196"/>
      <c r="W526" s="196"/>
      <c r="X526" s="196"/>
      <c r="Y526" s="196"/>
      <c r="Z526" s="196"/>
      <c r="AA526" s="196"/>
      <c r="AB526" s="196"/>
      <c r="AC526" s="196"/>
      <c r="AD526" s="196"/>
      <c r="AE526" s="196"/>
      <c r="AF526" s="196"/>
      <c r="AG526" s="196"/>
      <c r="AH526" s="196"/>
      <c r="AI526" s="196"/>
      <c r="AJ526" s="196"/>
      <c r="AK526" s="196"/>
      <c r="AL526" s="196"/>
      <c r="AM526" s="196"/>
      <c r="AN526" s="196"/>
      <c r="AO526" s="196"/>
      <c r="AP526" s="196"/>
      <c r="AQ526" s="196"/>
      <c r="AR526" s="196"/>
      <c r="AS526" s="196"/>
      <c r="AT526" s="197"/>
      <c r="AU526" s="229">
        <f t="shared" si="60"/>
        <v>0</v>
      </c>
      <c r="AV526" s="230">
        <f t="shared" si="60"/>
        <v>0</v>
      </c>
      <c r="AW526" s="230">
        <f t="shared" si="60"/>
        <v>0</v>
      </c>
      <c r="AX526" s="230">
        <f t="shared" si="60"/>
        <v>0</v>
      </c>
      <c r="AY526" s="231">
        <f t="shared" si="60"/>
        <v>0</v>
      </c>
      <c r="AZ526"/>
      <c r="BA526" s="44" t="str">
        <f t="shared" ca="1" si="56"/>
        <v>VariantAllowances</v>
      </c>
      <c r="BB526" s="44" t="str">
        <f t="shared" si="54"/>
        <v>TO variant allowances</v>
      </c>
      <c r="BC526" s="44" t="str">
        <f t="shared" si="55"/>
        <v>Variant allowances allocation to totex categories</v>
      </c>
    </row>
    <row r="527" spans="4:55">
      <c r="D527">
        <f t="shared" si="50"/>
        <v>2.5</v>
      </c>
      <c r="E527" s="212" t="str">
        <f t="shared" si="51"/>
        <v>Bacton Enhanced Filtration re-opener</v>
      </c>
      <c r="G527" s="43" t="str">
        <f t="shared" si="52"/>
        <v>£m 23/24 prices</v>
      </c>
      <c r="H527" s="43" t="str">
        <f t="shared" si="53"/>
        <v>Asset replacement capex</v>
      </c>
      <c r="AU527" s="143">
        <f t="shared" si="60"/>
        <v>0</v>
      </c>
      <c r="AV527" s="54">
        <f t="shared" si="60"/>
        <v>0</v>
      </c>
      <c r="AW527" s="54">
        <f t="shared" si="60"/>
        <v>0</v>
      </c>
      <c r="AX527" s="54">
        <f t="shared" si="60"/>
        <v>0</v>
      </c>
      <c r="AY527" s="185">
        <f t="shared" si="60"/>
        <v>0</v>
      </c>
      <c r="AZ527"/>
      <c r="BA527" s="44" t="str">
        <f t="shared" ca="1" si="56"/>
        <v>VariantAllowances</v>
      </c>
      <c r="BB527" s="44" t="str">
        <f t="shared" si="54"/>
        <v>TO variant allowances</v>
      </c>
      <c r="BC527" s="44" t="str">
        <f t="shared" si="55"/>
        <v>Variant allowances allocation to totex categories</v>
      </c>
    </row>
    <row r="528" spans="4:55">
      <c r="D528">
        <f t="shared" si="50"/>
        <v>2.5</v>
      </c>
      <c r="E528" s="212" t="str">
        <f t="shared" si="51"/>
        <v>Bacton Enhanced Filtration re-opener</v>
      </c>
      <c r="G528" s="43" t="str">
        <f t="shared" si="52"/>
        <v>£m 23/24 prices</v>
      </c>
      <c r="H528" s="43" t="str">
        <f t="shared" si="53"/>
        <v>Other capex</v>
      </c>
      <c r="AU528" s="143">
        <f t="shared" ref="AU528:AY537" si="61">INDEX(AU$8:AU$50,MATCH($E528,$E$8:$E$50,0))*AU268</f>
        <v>0</v>
      </c>
      <c r="AV528" s="54">
        <f t="shared" si="61"/>
        <v>0</v>
      </c>
      <c r="AW528" s="54">
        <f t="shared" si="61"/>
        <v>0</v>
      </c>
      <c r="AX528" s="54">
        <f t="shared" si="61"/>
        <v>0</v>
      </c>
      <c r="AY528" s="185">
        <f t="shared" si="61"/>
        <v>0</v>
      </c>
      <c r="AZ528"/>
      <c r="BA528" s="44" t="str">
        <f t="shared" ca="1" si="56"/>
        <v>VariantAllowances</v>
      </c>
      <c r="BB528" s="44" t="str">
        <f t="shared" si="54"/>
        <v>TO variant allowances</v>
      </c>
      <c r="BC528" s="44" t="str">
        <f t="shared" si="55"/>
        <v>Variant allowances allocation to totex categories</v>
      </c>
    </row>
    <row r="529" spans="4:55">
      <c r="D529">
        <f t="shared" si="50"/>
        <v>2.5</v>
      </c>
      <c r="E529" s="212" t="str">
        <f t="shared" si="51"/>
        <v>Bacton Enhanced Filtration re-opener</v>
      </c>
      <c r="G529" s="43" t="str">
        <f t="shared" si="52"/>
        <v>£m 23/24 prices</v>
      </c>
      <c r="H529" s="43" t="str">
        <f t="shared" si="53"/>
        <v>Non-operational capex</v>
      </c>
      <c r="AU529" s="143">
        <f t="shared" si="61"/>
        <v>0</v>
      </c>
      <c r="AV529" s="54">
        <f t="shared" si="61"/>
        <v>0</v>
      </c>
      <c r="AW529" s="54">
        <f t="shared" si="61"/>
        <v>0</v>
      </c>
      <c r="AX529" s="54">
        <f t="shared" si="61"/>
        <v>0</v>
      </c>
      <c r="AY529" s="185">
        <f t="shared" si="61"/>
        <v>0</v>
      </c>
      <c r="AZ529"/>
      <c r="BA529" s="44" t="str">
        <f t="shared" ca="1" si="56"/>
        <v>VariantAllowances</v>
      </c>
      <c r="BB529" s="44" t="str">
        <f t="shared" si="54"/>
        <v>TO variant allowances</v>
      </c>
      <c r="BC529" s="44" t="str">
        <f t="shared" si="55"/>
        <v>Variant allowances allocation to totex categories</v>
      </c>
    </row>
    <row r="530" spans="4:55">
      <c r="D530">
        <f t="shared" si="50"/>
        <v>2.5</v>
      </c>
      <c r="E530" s="212" t="str">
        <f t="shared" si="51"/>
        <v>Bacton Enhanced Filtration re-opener</v>
      </c>
      <c r="G530" s="43" t="str">
        <f t="shared" si="52"/>
        <v>£m 23/24 prices</v>
      </c>
      <c r="H530" s="43" t="str">
        <f t="shared" si="53"/>
        <v>Non-load (opex)</v>
      </c>
      <c r="AU530" s="143">
        <f t="shared" si="61"/>
        <v>0</v>
      </c>
      <c r="AV530" s="54">
        <f t="shared" si="61"/>
        <v>0</v>
      </c>
      <c r="AW530" s="54">
        <f t="shared" si="61"/>
        <v>0</v>
      </c>
      <c r="AX530" s="54">
        <f t="shared" si="61"/>
        <v>0</v>
      </c>
      <c r="AY530" s="185">
        <f t="shared" si="61"/>
        <v>0</v>
      </c>
      <c r="AZ530"/>
      <c r="BA530" s="44" t="str">
        <f t="shared" ca="1" si="56"/>
        <v>VariantAllowances</v>
      </c>
      <c r="BB530" s="44" t="str">
        <f t="shared" si="54"/>
        <v>TO variant allowances</v>
      </c>
      <c r="BC530" s="44" t="str">
        <f t="shared" si="55"/>
        <v>Variant allowances allocation to totex categories</v>
      </c>
    </row>
    <row r="531" spans="4:55">
      <c r="D531">
        <f t="shared" si="50"/>
        <v>2.5</v>
      </c>
      <c r="E531" s="201" t="str">
        <f t="shared" si="51"/>
        <v>Bacton Enhanced Filtration re-opener</v>
      </c>
      <c r="F531" s="225"/>
      <c r="G531" s="202" t="str">
        <f t="shared" si="52"/>
        <v>£m 23/24 prices</v>
      </c>
      <c r="H531" s="202" t="str">
        <f t="shared" si="53"/>
        <v>Indirects (opex)</v>
      </c>
      <c r="I531" s="202"/>
      <c r="J531" s="202"/>
      <c r="K531" s="202"/>
      <c r="L531" s="202"/>
      <c r="M531" s="202"/>
      <c r="N531" s="202"/>
      <c r="O531" s="202"/>
      <c r="P531" s="202"/>
      <c r="Q531" s="202"/>
      <c r="R531" s="202"/>
      <c r="S531" s="202"/>
      <c r="T531" s="202"/>
      <c r="U531" s="202"/>
      <c r="V531" s="202"/>
      <c r="W531" s="202"/>
      <c r="X531" s="202"/>
      <c r="Y531" s="202"/>
      <c r="Z531" s="202"/>
      <c r="AA531" s="202"/>
      <c r="AB531" s="202"/>
      <c r="AC531" s="202"/>
      <c r="AD531" s="202"/>
      <c r="AE531" s="202"/>
      <c r="AF531" s="202"/>
      <c r="AG531" s="202"/>
      <c r="AH531" s="202"/>
      <c r="AI531" s="202"/>
      <c r="AJ531" s="202"/>
      <c r="AK531" s="202"/>
      <c r="AL531" s="202"/>
      <c r="AM531" s="202"/>
      <c r="AN531" s="202"/>
      <c r="AO531" s="202"/>
      <c r="AP531" s="202"/>
      <c r="AQ531" s="202"/>
      <c r="AR531" s="202"/>
      <c r="AS531" s="202"/>
      <c r="AT531" s="203"/>
      <c r="AU531" s="232">
        <f t="shared" si="61"/>
        <v>0</v>
      </c>
      <c r="AV531" s="233">
        <f t="shared" si="61"/>
        <v>0</v>
      </c>
      <c r="AW531" s="233">
        <f t="shared" si="61"/>
        <v>0</v>
      </c>
      <c r="AX531" s="233">
        <f t="shared" si="61"/>
        <v>0</v>
      </c>
      <c r="AY531" s="234">
        <f t="shared" si="61"/>
        <v>0</v>
      </c>
      <c r="AZ531"/>
      <c r="BA531" s="44" t="str">
        <f t="shared" ca="1" si="56"/>
        <v>VariantAllowances</v>
      </c>
      <c r="BB531" s="44" t="str">
        <f t="shared" si="54"/>
        <v>TO variant allowances</v>
      </c>
      <c r="BC531" s="44" t="str">
        <f t="shared" si="55"/>
        <v>Variant allowances allocation to totex categories</v>
      </c>
    </row>
    <row r="532" spans="4:55">
      <c r="D532">
        <f t="shared" si="50"/>
        <v>2.5</v>
      </c>
      <c r="E532" s="195" t="str">
        <f t="shared" si="51"/>
        <v>Network decarbonisation and emissions compliance Re-opener</v>
      </c>
      <c r="F532" s="221"/>
      <c r="G532" s="196" t="str">
        <f t="shared" si="52"/>
        <v>£m 23/24 prices</v>
      </c>
      <c r="H532" s="196" t="str">
        <f t="shared" si="53"/>
        <v>Load related capex</v>
      </c>
      <c r="I532" s="196"/>
      <c r="J532" s="196"/>
      <c r="K532" s="196"/>
      <c r="L532" s="196"/>
      <c r="M532" s="196"/>
      <c r="N532" s="196"/>
      <c r="O532" s="196"/>
      <c r="P532" s="196"/>
      <c r="Q532" s="196"/>
      <c r="R532" s="196"/>
      <c r="S532" s="196"/>
      <c r="T532" s="196"/>
      <c r="U532" s="196"/>
      <c r="V532" s="196"/>
      <c r="W532" s="196"/>
      <c r="X532" s="196"/>
      <c r="Y532" s="196"/>
      <c r="Z532" s="196"/>
      <c r="AA532" s="196"/>
      <c r="AB532" s="196"/>
      <c r="AC532" s="196"/>
      <c r="AD532" s="196"/>
      <c r="AE532" s="196"/>
      <c r="AF532" s="196"/>
      <c r="AG532" s="196"/>
      <c r="AH532" s="196"/>
      <c r="AI532" s="196"/>
      <c r="AJ532" s="196"/>
      <c r="AK532" s="196"/>
      <c r="AL532" s="196"/>
      <c r="AM532" s="196"/>
      <c r="AN532" s="196"/>
      <c r="AO532" s="196"/>
      <c r="AP532" s="196"/>
      <c r="AQ532" s="196"/>
      <c r="AR532" s="196"/>
      <c r="AS532" s="196"/>
      <c r="AT532" s="197"/>
      <c r="AU532" s="229">
        <f t="shared" si="61"/>
        <v>0</v>
      </c>
      <c r="AV532" s="230">
        <f t="shared" si="61"/>
        <v>0</v>
      </c>
      <c r="AW532" s="230">
        <f t="shared" si="61"/>
        <v>0</v>
      </c>
      <c r="AX532" s="230">
        <f t="shared" si="61"/>
        <v>0</v>
      </c>
      <c r="AY532" s="231">
        <f t="shared" si="61"/>
        <v>0</v>
      </c>
      <c r="AZ532"/>
      <c r="BA532" s="44" t="str">
        <f t="shared" ca="1" si="56"/>
        <v>VariantAllowances</v>
      </c>
      <c r="BB532" s="44" t="str">
        <f t="shared" si="54"/>
        <v>TO variant allowances</v>
      </c>
      <c r="BC532" s="44" t="str">
        <f t="shared" si="55"/>
        <v>Variant allowances allocation to totex categories</v>
      </c>
    </row>
    <row r="533" spans="4:55">
      <c r="D533">
        <f t="shared" si="50"/>
        <v>2.5</v>
      </c>
      <c r="E533" s="212" t="str">
        <f t="shared" si="51"/>
        <v>Network decarbonisation and emissions compliance Re-opener</v>
      </c>
      <c r="G533" s="43" t="str">
        <f t="shared" si="52"/>
        <v>£m 23/24 prices</v>
      </c>
      <c r="H533" s="43" t="str">
        <f t="shared" si="53"/>
        <v>Asset replacement capex</v>
      </c>
      <c r="AU533" s="143">
        <f t="shared" si="61"/>
        <v>0</v>
      </c>
      <c r="AV533" s="54">
        <f t="shared" si="61"/>
        <v>0</v>
      </c>
      <c r="AW533" s="54">
        <f t="shared" si="61"/>
        <v>0</v>
      </c>
      <c r="AX533" s="54">
        <f t="shared" si="61"/>
        <v>0</v>
      </c>
      <c r="AY533" s="185">
        <f t="shared" si="61"/>
        <v>0</v>
      </c>
      <c r="AZ533"/>
      <c r="BA533" s="44" t="str">
        <f t="shared" ca="1" si="56"/>
        <v>VariantAllowances</v>
      </c>
      <c r="BB533" s="44" t="str">
        <f t="shared" si="54"/>
        <v>TO variant allowances</v>
      </c>
      <c r="BC533" s="44" t="str">
        <f t="shared" si="55"/>
        <v>Variant allowances allocation to totex categories</v>
      </c>
    </row>
    <row r="534" spans="4:55">
      <c r="D534">
        <f t="shared" si="50"/>
        <v>2.5</v>
      </c>
      <c r="E534" s="212" t="str">
        <f t="shared" si="51"/>
        <v>Network decarbonisation and emissions compliance Re-opener</v>
      </c>
      <c r="G534" s="43" t="str">
        <f t="shared" si="52"/>
        <v>£m 23/24 prices</v>
      </c>
      <c r="H534" s="43" t="str">
        <f t="shared" si="53"/>
        <v>Other capex</v>
      </c>
      <c r="AU534" s="143">
        <f t="shared" si="61"/>
        <v>0</v>
      </c>
      <c r="AV534" s="54">
        <f t="shared" si="61"/>
        <v>0</v>
      </c>
      <c r="AW534" s="54">
        <f t="shared" si="61"/>
        <v>0</v>
      </c>
      <c r="AX534" s="54">
        <f t="shared" si="61"/>
        <v>0</v>
      </c>
      <c r="AY534" s="185">
        <f t="shared" si="61"/>
        <v>0</v>
      </c>
      <c r="AZ534"/>
      <c r="BA534" s="44" t="str">
        <f t="shared" ca="1" si="56"/>
        <v>VariantAllowances</v>
      </c>
      <c r="BB534" s="44" t="str">
        <f t="shared" si="54"/>
        <v>TO variant allowances</v>
      </c>
      <c r="BC534" s="44" t="str">
        <f t="shared" si="55"/>
        <v>Variant allowances allocation to totex categories</v>
      </c>
    </row>
    <row r="535" spans="4:55">
      <c r="D535">
        <f t="shared" si="50"/>
        <v>2.5</v>
      </c>
      <c r="E535" s="212" t="str">
        <f t="shared" si="51"/>
        <v>Network decarbonisation and emissions compliance Re-opener</v>
      </c>
      <c r="G535" s="43" t="str">
        <f t="shared" si="52"/>
        <v>£m 23/24 prices</v>
      </c>
      <c r="H535" s="43" t="str">
        <f t="shared" si="53"/>
        <v>Non-operational capex</v>
      </c>
      <c r="AU535" s="143">
        <f t="shared" si="61"/>
        <v>0</v>
      </c>
      <c r="AV535" s="54">
        <f t="shared" si="61"/>
        <v>0</v>
      </c>
      <c r="AW535" s="54">
        <f t="shared" si="61"/>
        <v>0</v>
      </c>
      <c r="AX535" s="54">
        <f t="shared" si="61"/>
        <v>0</v>
      </c>
      <c r="AY535" s="185">
        <f t="shared" si="61"/>
        <v>0</v>
      </c>
      <c r="AZ535"/>
      <c r="BA535" s="44" t="str">
        <f t="shared" ca="1" si="56"/>
        <v>VariantAllowances</v>
      </c>
      <c r="BB535" s="44" t="str">
        <f t="shared" si="54"/>
        <v>TO variant allowances</v>
      </c>
      <c r="BC535" s="44" t="str">
        <f t="shared" si="55"/>
        <v>Variant allowances allocation to totex categories</v>
      </c>
    </row>
    <row r="536" spans="4:55">
      <c r="D536">
        <f t="shared" si="50"/>
        <v>2.5</v>
      </c>
      <c r="E536" s="212" t="str">
        <f t="shared" si="51"/>
        <v>Network decarbonisation and emissions compliance Re-opener</v>
      </c>
      <c r="G536" s="43" t="str">
        <f t="shared" si="52"/>
        <v>£m 23/24 prices</v>
      </c>
      <c r="H536" s="43" t="str">
        <f t="shared" si="53"/>
        <v>Non-load (opex)</v>
      </c>
      <c r="AU536" s="143">
        <f t="shared" si="61"/>
        <v>0</v>
      </c>
      <c r="AV536" s="54">
        <f t="shared" si="61"/>
        <v>0</v>
      </c>
      <c r="AW536" s="54">
        <f t="shared" si="61"/>
        <v>0</v>
      </c>
      <c r="AX536" s="54">
        <f t="shared" si="61"/>
        <v>0</v>
      </c>
      <c r="AY536" s="185">
        <f t="shared" si="61"/>
        <v>0</v>
      </c>
      <c r="AZ536"/>
      <c r="BA536" s="44" t="str">
        <f t="shared" ca="1" si="56"/>
        <v>VariantAllowances</v>
      </c>
      <c r="BB536" s="44" t="str">
        <f t="shared" si="54"/>
        <v>TO variant allowances</v>
      </c>
      <c r="BC536" s="44" t="str">
        <f t="shared" si="55"/>
        <v>Variant allowances allocation to totex categories</v>
      </c>
    </row>
    <row r="537" spans="4:55">
      <c r="D537">
        <f t="shared" si="50"/>
        <v>2.5</v>
      </c>
      <c r="E537" s="201" t="str">
        <f t="shared" si="51"/>
        <v>Network decarbonisation and emissions compliance Re-opener</v>
      </c>
      <c r="F537" s="225"/>
      <c r="G537" s="202" t="str">
        <f t="shared" si="52"/>
        <v>£m 23/24 prices</v>
      </c>
      <c r="H537" s="202" t="str">
        <f t="shared" si="53"/>
        <v>Indirects (opex)</v>
      </c>
      <c r="I537" s="202"/>
      <c r="J537" s="202"/>
      <c r="K537" s="202"/>
      <c r="L537" s="202"/>
      <c r="M537" s="202"/>
      <c r="N537" s="202"/>
      <c r="O537" s="202"/>
      <c r="P537" s="202"/>
      <c r="Q537" s="202"/>
      <c r="R537" s="202"/>
      <c r="S537" s="202"/>
      <c r="T537" s="202"/>
      <c r="U537" s="202"/>
      <c r="V537" s="202"/>
      <c r="W537" s="202"/>
      <c r="X537" s="202"/>
      <c r="Y537" s="202"/>
      <c r="Z537" s="202"/>
      <c r="AA537" s="202"/>
      <c r="AB537" s="202"/>
      <c r="AC537" s="202"/>
      <c r="AD537" s="202"/>
      <c r="AE537" s="202"/>
      <c r="AF537" s="202"/>
      <c r="AG537" s="202"/>
      <c r="AH537" s="202"/>
      <c r="AI537" s="202"/>
      <c r="AJ537" s="202"/>
      <c r="AK537" s="202"/>
      <c r="AL537" s="202"/>
      <c r="AM537" s="202"/>
      <c r="AN537" s="202"/>
      <c r="AO537" s="202"/>
      <c r="AP537" s="202"/>
      <c r="AQ537" s="202"/>
      <c r="AR537" s="202"/>
      <c r="AS537" s="202"/>
      <c r="AT537" s="203"/>
      <c r="AU537" s="232">
        <f t="shared" si="61"/>
        <v>0</v>
      </c>
      <c r="AV537" s="233">
        <f t="shared" si="61"/>
        <v>0</v>
      </c>
      <c r="AW537" s="233">
        <f t="shared" si="61"/>
        <v>0</v>
      </c>
      <c r="AX537" s="233">
        <f t="shared" si="61"/>
        <v>0</v>
      </c>
      <c r="AY537" s="234">
        <f t="shared" si="61"/>
        <v>0</v>
      </c>
      <c r="AZ537"/>
      <c r="BA537" s="44" t="str">
        <f t="shared" ca="1" si="56"/>
        <v>VariantAllowances</v>
      </c>
      <c r="BB537" s="44" t="str">
        <f t="shared" si="54"/>
        <v>TO variant allowances</v>
      </c>
      <c r="BC537" s="44" t="str">
        <f t="shared" si="55"/>
        <v>Variant allowances allocation to totex categories</v>
      </c>
    </row>
    <row r="538" spans="4:55">
      <c r="D538">
        <f t="shared" si="50"/>
        <v>1</v>
      </c>
      <c r="E538" s="195" t="str">
        <f t="shared" si="51"/>
        <v>Compressor acoustic building replacement Price Control Deliverable</v>
      </c>
      <c r="F538" s="221"/>
      <c r="G538" s="196" t="str">
        <f t="shared" si="52"/>
        <v>£m 23/24 prices</v>
      </c>
      <c r="H538" s="196" t="str">
        <f t="shared" si="53"/>
        <v>Load related capex</v>
      </c>
      <c r="I538" s="196"/>
      <c r="J538" s="196"/>
      <c r="K538" s="196"/>
      <c r="L538" s="196"/>
      <c r="M538" s="196"/>
      <c r="N538" s="196"/>
      <c r="O538" s="196"/>
      <c r="P538" s="196"/>
      <c r="Q538" s="196"/>
      <c r="R538" s="196"/>
      <c r="S538" s="196"/>
      <c r="T538" s="196"/>
      <c r="U538" s="196"/>
      <c r="V538" s="196"/>
      <c r="W538" s="196"/>
      <c r="X538" s="196"/>
      <c r="Y538" s="196"/>
      <c r="Z538" s="196"/>
      <c r="AA538" s="196"/>
      <c r="AB538" s="196"/>
      <c r="AC538" s="196"/>
      <c r="AD538" s="196"/>
      <c r="AE538" s="196"/>
      <c r="AF538" s="196"/>
      <c r="AG538" s="196"/>
      <c r="AH538" s="196"/>
      <c r="AI538" s="196"/>
      <c r="AJ538" s="196"/>
      <c r="AK538" s="196"/>
      <c r="AL538" s="196"/>
      <c r="AM538" s="196"/>
      <c r="AN538" s="196"/>
      <c r="AO538" s="196"/>
      <c r="AP538" s="196"/>
      <c r="AQ538" s="196"/>
      <c r="AR538" s="196"/>
      <c r="AS538" s="196"/>
      <c r="AT538" s="197"/>
      <c r="AU538" s="229">
        <f t="shared" ref="AU538:AY547" si="62">INDEX(AU$8:AU$50,MATCH($E538,$E$8:$E$50,0))*AU278</f>
        <v>0</v>
      </c>
      <c r="AV538" s="230">
        <f t="shared" si="62"/>
        <v>0</v>
      </c>
      <c r="AW538" s="230">
        <f t="shared" si="62"/>
        <v>0</v>
      </c>
      <c r="AX538" s="230">
        <f t="shared" si="62"/>
        <v>0</v>
      </c>
      <c r="AY538" s="231">
        <f t="shared" si="62"/>
        <v>0</v>
      </c>
      <c r="AZ538"/>
      <c r="BA538" s="44" t="str">
        <f t="shared" ca="1" si="56"/>
        <v>VariantAllowances</v>
      </c>
      <c r="BB538" s="44" t="str">
        <f t="shared" si="54"/>
        <v>TO variant allowances</v>
      </c>
      <c r="BC538" s="44" t="str">
        <f t="shared" si="55"/>
        <v>Variant allowances allocation to totex categories</v>
      </c>
    </row>
    <row r="539" spans="4:55">
      <c r="D539">
        <f t="shared" si="50"/>
        <v>1</v>
      </c>
      <c r="E539" s="212" t="str">
        <f t="shared" si="51"/>
        <v>Compressor acoustic building replacement Price Control Deliverable</v>
      </c>
      <c r="G539" s="43" t="str">
        <f t="shared" si="52"/>
        <v>£m 23/24 prices</v>
      </c>
      <c r="H539" s="43" t="str">
        <f t="shared" si="53"/>
        <v>Asset replacement capex</v>
      </c>
      <c r="AU539" s="143">
        <f t="shared" si="62"/>
        <v>3.2074449408658041</v>
      </c>
      <c r="AV539" s="54">
        <f t="shared" si="62"/>
        <v>1.6597520309532998</v>
      </c>
      <c r="AW539" s="54">
        <f t="shared" si="62"/>
        <v>12.367383920493083</v>
      </c>
      <c r="AX539" s="54">
        <f t="shared" si="62"/>
        <v>26.338365265452634</v>
      </c>
      <c r="AY539" s="185">
        <f t="shared" si="62"/>
        <v>8.3818294118541861</v>
      </c>
      <c r="AZ539"/>
      <c r="BA539" s="44" t="str">
        <f t="shared" ca="1" si="56"/>
        <v>VariantAllowances</v>
      </c>
      <c r="BB539" s="44" t="str">
        <f t="shared" si="54"/>
        <v>TO variant allowances</v>
      </c>
      <c r="BC539" s="44" t="str">
        <f t="shared" si="55"/>
        <v>Variant allowances allocation to totex categories</v>
      </c>
    </row>
    <row r="540" spans="4:55">
      <c r="D540">
        <f t="shared" si="50"/>
        <v>1</v>
      </c>
      <c r="E540" s="212" t="str">
        <f t="shared" si="51"/>
        <v>Compressor acoustic building replacement Price Control Deliverable</v>
      </c>
      <c r="G540" s="43" t="str">
        <f t="shared" si="52"/>
        <v>£m 23/24 prices</v>
      </c>
      <c r="H540" s="43" t="str">
        <f t="shared" si="53"/>
        <v>Other capex</v>
      </c>
      <c r="AU540" s="143">
        <f t="shared" si="62"/>
        <v>0</v>
      </c>
      <c r="AV540" s="54">
        <f t="shared" si="62"/>
        <v>0</v>
      </c>
      <c r="AW540" s="54">
        <f t="shared" si="62"/>
        <v>0</v>
      </c>
      <c r="AX540" s="54">
        <f t="shared" si="62"/>
        <v>0</v>
      </c>
      <c r="AY540" s="185">
        <f t="shared" si="62"/>
        <v>0</v>
      </c>
      <c r="AZ540"/>
      <c r="BA540" s="44" t="str">
        <f t="shared" ca="1" si="56"/>
        <v>VariantAllowances</v>
      </c>
      <c r="BB540" s="44" t="str">
        <f t="shared" si="54"/>
        <v>TO variant allowances</v>
      </c>
      <c r="BC540" s="44" t="str">
        <f t="shared" si="55"/>
        <v>Variant allowances allocation to totex categories</v>
      </c>
    </row>
    <row r="541" spans="4:55">
      <c r="D541">
        <f t="shared" si="50"/>
        <v>1</v>
      </c>
      <c r="E541" s="212" t="str">
        <f t="shared" si="51"/>
        <v>Compressor acoustic building replacement Price Control Deliverable</v>
      </c>
      <c r="G541" s="43" t="str">
        <f t="shared" si="52"/>
        <v>£m 23/24 prices</v>
      </c>
      <c r="H541" s="43" t="str">
        <f t="shared" si="53"/>
        <v>Non-operational capex</v>
      </c>
      <c r="AU541" s="143">
        <f t="shared" si="62"/>
        <v>0</v>
      </c>
      <c r="AV541" s="54">
        <f t="shared" si="62"/>
        <v>0</v>
      </c>
      <c r="AW541" s="54">
        <f t="shared" si="62"/>
        <v>0</v>
      </c>
      <c r="AX541" s="54">
        <f t="shared" si="62"/>
        <v>0</v>
      </c>
      <c r="AY541" s="185">
        <f t="shared" si="62"/>
        <v>0</v>
      </c>
      <c r="AZ541"/>
      <c r="BA541" s="44" t="str">
        <f t="shared" ca="1" si="56"/>
        <v>VariantAllowances</v>
      </c>
      <c r="BB541" s="44" t="str">
        <f t="shared" si="54"/>
        <v>TO variant allowances</v>
      </c>
      <c r="BC541" s="44" t="str">
        <f t="shared" si="55"/>
        <v>Variant allowances allocation to totex categories</v>
      </c>
    </row>
    <row r="542" spans="4:55">
      <c r="D542">
        <f t="shared" si="50"/>
        <v>1</v>
      </c>
      <c r="E542" s="212" t="str">
        <f t="shared" si="51"/>
        <v>Compressor acoustic building replacement Price Control Deliverable</v>
      </c>
      <c r="G542" s="43" t="str">
        <f t="shared" si="52"/>
        <v>£m 23/24 prices</v>
      </c>
      <c r="H542" s="43" t="str">
        <f t="shared" si="53"/>
        <v>Non-load (opex)</v>
      </c>
      <c r="AU542" s="143">
        <f t="shared" si="62"/>
        <v>0</v>
      </c>
      <c r="AV542" s="54">
        <f t="shared" si="62"/>
        <v>0</v>
      </c>
      <c r="AW542" s="54">
        <f t="shared" si="62"/>
        <v>0</v>
      </c>
      <c r="AX542" s="54">
        <f t="shared" si="62"/>
        <v>0</v>
      </c>
      <c r="AY542" s="185">
        <f t="shared" si="62"/>
        <v>0</v>
      </c>
      <c r="AZ542"/>
      <c r="BA542" s="44" t="str">
        <f t="shared" ca="1" si="56"/>
        <v>VariantAllowances</v>
      </c>
      <c r="BB542" s="44" t="str">
        <f t="shared" si="54"/>
        <v>TO variant allowances</v>
      </c>
      <c r="BC542" s="44" t="str">
        <f t="shared" si="55"/>
        <v>Variant allowances allocation to totex categories</v>
      </c>
    </row>
    <row r="543" spans="4:55">
      <c r="D543">
        <f t="shared" si="50"/>
        <v>1</v>
      </c>
      <c r="E543" s="201" t="str">
        <f t="shared" si="51"/>
        <v>Compressor acoustic building replacement Price Control Deliverable</v>
      </c>
      <c r="F543" s="225"/>
      <c r="G543" s="202" t="str">
        <f t="shared" si="52"/>
        <v>£m 23/24 prices</v>
      </c>
      <c r="H543" s="202" t="str">
        <f t="shared" si="53"/>
        <v>Indirects (opex)</v>
      </c>
      <c r="I543" s="202"/>
      <c r="J543" s="202"/>
      <c r="K543" s="202"/>
      <c r="L543" s="202"/>
      <c r="M543" s="202"/>
      <c r="N543" s="202"/>
      <c r="O543" s="202"/>
      <c r="P543" s="202"/>
      <c r="Q543" s="202"/>
      <c r="R543" s="202"/>
      <c r="S543" s="202"/>
      <c r="T543" s="202"/>
      <c r="U543" s="202"/>
      <c r="V543" s="202"/>
      <c r="W543" s="202"/>
      <c r="X543" s="202"/>
      <c r="Y543" s="202"/>
      <c r="Z543" s="202"/>
      <c r="AA543" s="202"/>
      <c r="AB543" s="202"/>
      <c r="AC543" s="202"/>
      <c r="AD543" s="202"/>
      <c r="AE543" s="202"/>
      <c r="AF543" s="202"/>
      <c r="AG543" s="202"/>
      <c r="AH543" s="202"/>
      <c r="AI543" s="202"/>
      <c r="AJ543" s="202"/>
      <c r="AK543" s="202"/>
      <c r="AL543" s="202"/>
      <c r="AM543" s="202"/>
      <c r="AN543" s="202"/>
      <c r="AO543" s="202"/>
      <c r="AP543" s="202"/>
      <c r="AQ543" s="202"/>
      <c r="AR543" s="202"/>
      <c r="AS543" s="202"/>
      <c r="AT543" s="203"/>
      <c r="AU543" s="232">
        <f t="shared" si="62"/>
        <v>0</v>
      </c>
      <c r="AV543" s="233">
        <f t="shared" si="62"/>
        <v>0</v>
      </c>
      <c r="AW543" s="233">
        <f t="shared" si="62"/>
        <v>0</v>
      </c>
      <c r="AX543" s="233">
        <f t="shared" si="62"/>
        <v>0</v>
      </c>
      <c r="AY543" s="234">
        <f t="shared" si="62"/>
        <v>0</v>
      </c>
      <c r="AZ543"/>
      <c r="BA543" s="44" t="str">
        <f t="shared" ca="1" si="56"/>
        <v>VariantAllowances</v>
      </c>
      <c r="BB543" s="44" t="str">
        <f t="shared" si="54"/>
        <v>TO variant allowances</v>
      </c>
      <c r="BC543" s="44" t="str">
        <f t="shared" si="55"/>
        <v>Variant allowances allocation to totex categories</v>
      </c>
    </row>
    <row r="544" spans="4:55">
      <c r="D544">
        <f t="shared" si="50"/>
        <v>1</v>
      </c>
      <c r="E544" s="195" t="str">
        <f t="shared" si="51"/>
        <v>Easement Reinstatement Price Control Deliverable</v>
      </c>
      <c r="F544" s="221"/>
      <c r="G544" s="196" t="str">
        <f t="shared" si="52"/>
        <v>£m 23/24 prices</v>
      </c>
      <c r="H544" s="196" t="str">
        <f t="shared" si="53"/>
        <v>Load related capex</v>
      </c>
      <c r="I544" s="196"/>
      <c r="J544" s="196"/>
      <c r="K544" s="196"/>
      <c r="L544" s="196"/>
      <c r="M544" s="196"/>
      <c r="N544" s="196"/>
      <c r="O544" s="196"/>
      <c r="P544" s="196"/>
      <c r="Q544" s="196"/>
      <c r="R544" s="196"/>
      <c r="S544" s="196"/>
      <c r="T544" s="196"/>
      <c r="U544" s="196"/>
      <c r="V544" s="196"/>
      <c r="W544" s="196"/>
      <c r="X544" s="196"/>
      <c r="Y544" s="196"/>
      <c r="Z544" s="196"/>
      <c r="AA544" s="196"/>
      <c r="AB544" s="196"/>
      <c r="AC544" s="196"/>
      <c r="AD544" s="196"/>
      <c r="AE544" s="196"/>
      <c r="AF544" s="196"/>
      <c r="AG544" s="196"/>
      <c r="AH544" s="196"/>
      <c r="AI544" s="196"/>
      <c r="AJ544" s="196"/>
      <c r="AK544" s="196"/>
      <c r="AL544" s="196"/>
      <c r="AM544" s="196"/>
      <c r="AN544" s="196"/>
      <c r="AO544" s="196"/>
      <c r="AP544" s="196"/>
      <c r="AQ544" s="196"/>
      <c r="AR544" s="196"/>
      <c r="AS544" s="196"/>
      <c r="AT544" s="197"/>
      <c r="AU544" s="229">
        <f t="shared" si="62"/>
        <v>0</v>
      </c>
      <c r="AV544" s="230">
        <f t="shared" si="62"/>
        <v>0</v>
      </c>
      <c r="AW544" s="230">
        <f t="shared" si="62"/>
        <v>0</v>
      </c>
      <c r="AX544" s="230">
        <f t="shared" si="62"/>
        <v>0</v>
      </c>
      <c r="AY544" s="231">
        <f t="shared" si="62"/>
        <v>0</v>
      </c>
      <c r="AZ544"/>
      <c r="BA544" s="44" t="str">
        <f t="shared" ca="1" si="56"/>
        <v>VariantAllowances</v>
      </c>
      <c r="BB544" s="44" t="str">
        <f t="shared" si="54"/>
        <v>TO variant allowances</v>
      </c>
      <c r="BC544" s="44" t="str">
        <f t="shared" si="55"/>
        <v>Variant allowances allocation to totex categories</v>
      </c>
    </row>
    <row r="545" spans="4:55">
      <c r="D545">
        <f t="shared" si="50"/>
        <v>1</v>
      </c>
      <c r="E545" s="212" t="str">
        <f t="shared" si="51"/>
        <v>Easement Reinstatement Price Control Deliverable</v>
      </c>
      <c r="G545" s="43" t="str">
        <f t="shared" si="52"/>
        <v>£m 23/24 prices</v>
      </c>
      <c r="H545" s="43" t="str">
        <f t="shared" si="53"/>
        <v>Asset replacement capex</v>
      </c>
      <c r="AU545" s="143">
        <f t="shared" si="62"/>
        <v>3.9755755353169109</v>
      </c>
      <c r="AV545" s="54">
        <f t="shared" si="62"/>
        <v>3.935819779963742</v>
      </c>
      <c r="AW545" s="54">
        <f t="shared" si="62"/>
        <v>3.8964615821641044</v>
      </c>
      <c r="AX545" s="54">
        <f t="shared" si="62"/>
        <v>3.8574969663424632</v>
      </c>
      <c r="AY545" s="185">
        <f t="shared" si="62"/>
        <v>3.8189219966790389</v>
      </c>
      <c r="AZ545"/>
      <c r="BA545" s="44" t="str">
        <f t="shared" ca="1" si="56"/>
        <v>VariantAllowances</v>
      </c>
      <c r="BB545" s="44" t="str">
        <f t="shared" si="54"/>
        <v>TO variant allowances</v>
      </c>
      <c r="BC545" s="44" t="str">
        <f t="shared" si="55"/>
        <v>Variant allowances allocation to totex categories</v>
      </c>
    </row>
    <row r="546" spans="4:55">
      <c r="D546">
        <f t="shared" si="50"/>
        <v>1</v>
      </c>
      <c r="E546" s="212" t="str">
        <f t="shared" si="51"/>
        <v>Easement Reinstatement Price Control Deliverable</v>
      </c>
      <c r="G546" s="43" t="str">
        <f t="shared" si="52"/>
        <v>£m 23/24 prices</v>
      </c>
      <c r="H546" s="43" t="str">
        <f t="shared" si="53"/>
        <v>Other capex</v>
      </c>
      <c r="AU546" s="143">
        <f t="shared" si="62"/>
        <v>0</v>
      </c>
      <c r="AV546" s="54">
        <f t="shared" si="62"/>
        <v>0</v>
      </c>
      <c r="AW546" s="54">
        <f t="shared" si="62"/>
        <v>0</v>
      </c>
      <c r="AX546" s="54">
        <f t="shared" si="62"/>
        <v>0</v>
      </c>
      <c r="AY546" s="185">
        <f t="shared" si="62"/>
        <v>0</v>
      </c>
      <c r="AZ546"/>
      <c r="BA546" s="44" t="str">
        <f t="shared" ca="1" si="56"/>
        <v>VariantAllowances</v>
      </c>
      <c r="BB546" s="44" t="str">
        <f t="shared" si="54"/>
        <v>TO variant allowances</v>
      </c>
      <c r="BC546" s="44" t="str">
        <f t="shared" si="55"/>
        <v>Variant allowances allocation to totex categories</v>
      </c>
    </row>
    <row r="547" spans="4:55">
      <c r="D547">
        <f t="shared" si="50"/>
        <v>1</v>
      </c>
      <c r="E547" s="212" t="str">
        <f t="shared" si="51"/>
        <v>Easement Reinstatement Price Control Deliverable</v>
      </c>
      <c r="G547" s="43" t="str">
        <f t="shared" si="52"/>
        <v>£m 23/24 prices</v>
      </c>
      <c r="H547" s="43" t="str">
        <f t="shared" si="53"/>
        <v>Non-operational capex</v>
      </c>
      <c r="AU547" s="143">
        <f t="shared" si="62"/>
        <v>0</v>
      </c>
      <c r="AV547" s="54">
        <f t="shared" si="62"/>
        <v>0</v>
      </c>
      <c r="AW547" s="54">
        <f t="shared" si="62"/>
        <v>0</v>
      </c>
      <c r="AX547" s="54">
        <f t="shared" si="62"/>
        <v>0</v>
      </c>
      <c r="AY547" s="185">
        <f t="shared" si="62"/>
        <v>0</v>
      </c>
      <c r="AZ547"/>
      <c r="BA547" s="44" t="str">
        <f t="shared" ca="1" si="56"/>
        <v>VariantAllowances</v>
      </c>
      <c r="BB547" s="44" t="str">
        <f t="shared" si="54"/>
        <v>TO variant allowances</v>
      </c>
      <c r="BC547" s="44" t="str">
        <f t="shared" si="55"/>
        <v>Variant allowances allocation to totex categories</v>
      </c>
    </row>
    <row r="548" spans="4:55">
      <c r="D548">
        <f t="shared" si="50"/>
        <v>1</v>
      </c>
      <c r="E548" s="212" t="str">
        <f t="shared" si="51"/>
        <v>Easement Reinstatement Price Control Deliverable</v>
      </c>
      <c r="G548" s="43" t="str">
        <f t="shared" si="52"/>
        <v>£m 23/24 prices</v>
      </c>
      <c r="H548" s="43" t="str">
        <f t="shared" si="53"/>
        <v>Non-load (opex)</v>
      </c>
      <c r="AU548" s="143">
        <f t="shared" ref="AU548:AY557" si="63">INDEX(AU$8:AU$50,MATCH($E548,$E$8:$E$50,0))*AU288</f>
        <v>0</v>
      </c>
      <c r="AV548" s="54">
        <f t="shared" si="63"/>
        <v>0</v>
      </c>
      <c r="AW548" s="54">
        <f t="shared" si="63"/>
        <v>0</v>
      </c>
      <c r="AX548" s="54">
        <f t="shared" si="63"/>
        <v>0</v>
      </c>
      <c r="AY548" s="185">
        <f t="shared" si="63"/>
        <v>0</v>
      </c>
      <c r="AZ548"/>
      <c r="BA548" s="44" t="str">
        <f t="shared" ca="1" si="56"/>
        <v>VariantAllowances</v>
      </c>
      <c r="BB548" s="44" t="str">
        <f t="shared" si="54"/>
        <v>TO variant allowances</v>
      </c>
      <c r="BC548" s="44" t="str">
        <f t="shared" si="55"/>
        <v>Variant allowances allocation to totex categories</v>
      </c>
    </row>
    <row r="549" spans="4:55">
      <c r="D549">
        <f t="shared" si="50"/>
        <v>1</v>
      </c>
      <c r="E549" s="201" t="str">
        <f t="shared" si="51"/>
        <v>Easement Reinstatement Price Control Deliverable</v>
      </c>
      <c r="F549" s="225"/>
      <c r="G549" s="202" t="str">
        <f t="shared" si="52"/>
        <v>£m 23/24 prices</v>
      </c>
      <c r="H549" s="202" t="str">
        <f t="shared" si="53"/>
        <v>Indirects (opex)</v>
      </c>
      <c r="I549" s="202"/>
      <c r="J549" s="202"/>
      <c r="K549" s="202"/>
      <c r="L549" s="202"/>
      <c r="M549" s="202"/>
      <c r="N549" s="202"/>
      <c r="O549" s="202"/>
      <c r="P549" s="202"/>
      <c r="Q549" s="202"/>
      <c r="R549" s="202"/>
      <c r="S549" s="202"/>
      <c r="T549" s="202"/>
      <c r="U549" s="202"/>
      <c r="V549" s="202"/>
      <c r="W549" s="202"/>
      <c r="X549" s="202"/>
      <c r="Y549" s="202"/>
      <c r="Z549" s="202"/>
      <c r="AA549" s="202"/>
      <c r="AB549" s="202"/>
      <c r="AC549" s="202"/>
      <c r="AD549" s="202"/>
      <c r="AE549" s="202"/>
      <c r="AF549" s="202"/>
      <c r="AG549" s="202"/>
      <c r="AH549" s="202"/>
      <c r="AI549" s="202"/>
      <c r="AJ549" s="202"/>
      <c r="AK549" s="202"/>
      <c r="AL549" s="202"/>
      <c r="AM549" s="202"/>
      <c r="AN549" s="202"/>
      <c r="AO549" s="202"/>
      <c r="AP549" s="202"/>
      <c r="AQ549" s="202"/>
      <c r="AR549" s="202"/>
      <c r="AS549" s="202"/>
      <c r="AT549" s="203"/>
      <c r="AU549" s="232">
        <f t="shared" si="63"/>
        <v>0</v>
      </c>
      <c r="AV549" s="233">
        <f t="shared" si="63"/>
        <v>0</v>
      </c>
      <c r="AW549" s="233">
        <f t="shared" si="63"/>
        <v>0</v>
      </c>
      <c r="AX549" s="233">
        <f t="shared" si="63"/>
        <v>0</v>
      </c>
      <c r="AY549" s="234">
        <f t="shared" si="63"/>
        <v>0</v>
      </c>
      <c r="AZ549"/>
      <c r="BA549" s="44" t="str">
        <f t="shared" ca="1" si="56"/>
        <v>VariantAllowances</v>
      </c>
      <c r="BB549" s="44" t="str">
        <f t="shared" si="54"/>
        <v>TO variant allowances</v>
      </c>
      <c r="BC549" s="44" t="str">
        <f t="shared" si="55"/>
        <v>Variant allowances allocation to totex categories</v>
      </c>
    </row>
    <row r="550" spans="4:55">
      <c r="D550">
        <f t="shared" ref="D550:D613" si="64">INDEX($AY$53:$AY$95,MATCH(E550,$E$53:$E$95,0))</f>
        <v>1</v>
      </c>
      <c r="E550" s="195" t="str">
        <f t="shared" ref="E550:E613" si="65">E290</f>
        <v>Removal and remediation of pipe stabbings Price Control Deliverable</v>
      </c>
      <c r="F550" s="221"/>
      <c r="G550" s="196" t="str">
        <f t="shared" ref="G550:G613" si="66">price_label</f>
        <v>£m 23/24 prices</v>
      </c>
      <c r="H550" s="196" t="str">
        <f t="shared" ref="H550:H613" si="67">H290</f>
        <v>Load related capex</v>
      </c>
      <c r="I550" s="196"/>
      <c r="J550" s="196"/>
      <c r="K550" s="196"/>
      <c r="L550" s="196"/>
      <c r="M550" s="196"/>
      <c r="N550" s="196"/>
      <c r="O550" s="196"/>
      <c r="P550" s="196"/>
      <c r="Q550" s="196"/>
      <c r="R550" s="196"/>
      <c r="S550" s="196"/>
      <c r="T550" s="196"/>
      <c r="U550" s="196"/>
      <c r="V550" s="196"/>
      <c r="W550" s="196"/>
      <c r="X550" s="196"/>
      <c r="Y550" s="196"/>
      <c r="Z550" s="196"/>
      <c r="AA550" s="196"/>
      <c r="AB550" s="196"/>
      <c r="AC550" s="196"/>
      <c r="AD550" s="196"/>
      <c r="AE550" s="196"/>
      <c r="AF550" s="196"/>
      <c r="AG550" s="196"/>
      <c r="AH550" s="196"/>
      <c r="AI550" s="196"/>
      <c r="AJ550" s="196"/>
      <c r="AK550" s="196"/>
      <c r="AL550" s="196"/>
      <c r="AM550" s="196"/>
      <c r="AN550" s="196"/>
      <c r="AO550" s="196"/>
      <c r="AP550" s="196"/>
      <c r="AQ550" s="196"/>
      <c r="AR550" s="196"/>
      <c r="AS550" s="196"/>
      <c r="AT550" s="197"/>
      <c r="AU550" s="229">
        <f t="shared" si="63"/>
        <v>0</v>
      </c>
      <c r="AV550" s="230">
        <f t="shared" si="63"/>
        <v>0</v>
      </c>
      <c r="AW550" s="230">
        <f t="shared" si="63"/>
        <v>0</v>
      </c>
      <c r="AX550" s="230">
        <f t="shared" si="63"/>
        <v>0</v>
      </c>
      <c r="AY550" s="231">
        <f t="shared" si="63"/>
        <v>0</v>
      </c>
      <c r="AZ550"/>
      <c r="BA550" s="44" t="str">
        <f t="shared" ca="1" si="56"/>
        <v>VariantAllowances</v>
      </c>
      <c r="BB550" s="44" t="str">
        <f t="shared" ref="BB550:BB613" si="68">$A$6</f>
        <v>TO variant allowances</v>
      </c>
      <c r="BC550" s="44" t="str">
        <f t="shared" ref="BC550:BC613" si="69">$B$357</f>
        <v>Variant allowances allocation to totex categories</v>
      </c>
    </row>
    <row r="551" spans="4:55">
      <c r="D551">
        <f t="shared" si="64"/>
        <v>1</v>
      </c>
      <c r="E551" s="212" t="str">
        <f t="shared" si="65"/>
        <v>Removal and remediation of pipe stabbings Price Control Deliverable</v>
      </c>
      <c r="G551" s="43" t="str">
        <f t="shared" si="66"/>
        <v>£m 23/24 prices</v>
      </c>
      <c r="H551" s="43" t="str">
        <f t="shared" si="67"/>
        <v>Asset replacement capex</v>
      </c>
      <c r="AU551" s="143">
        <f t="shared" si="63"/>
        <v>3.5413061693755865</v>
      </c>
      <c r="AV551" s="54">
        <f t="shared" si="63"/>
        <v>3.5058931076818305</v>
      </c>
      <c r="AW551" s="54">
        <f t="shared" si="63"/>
        <v>3.4708341766050124</v>
      </c>
      <c r="AX551" s="54">
        <f t="shared" si="63"/>
        <v>3.4361258348389621</v>
      </c>
      <c r="AY551" s="185">
        <f t="shared" si="63"/>
        <v>3.4017645764905726</v>
      </c>
      <c r="AZ551"/>
      <c r="BA551" s="44" t="str">
        <f t="shared" ref="BA551:BA614" ca="1" si="70">$A$1</f>
        <v>VariantAllowances</v>
      </c>
      <c r="BB551" s="44" t="str">
        <f t="shared" si="68"/>
        <v>TO variant allowances</v>
      </c>
      <c r="BC551" s="44" t="str">
        <f t="shared" si="69"/>
        <v>Variant allowances allocation to totex categories</v>
      </c>
    </row>
    <row r="552" spans="4:55">
      <c r="D552">
        <f t="shared" si="64"/>
        <v>1</v>
      </c>
      <c r="E552" s="212" t="str">
        <f t="shared" si="65"/>
        <v>Removal and remediation of pipe stabbings Price Control Deliverable</v>
      </c>
      <c r="G552" s="43" t="str">
        <f t="shared" si="66"/>
        <v>£m 23/24 prices</v>
      </c>
      <c r="H552" s="43" t="str">
        <f t="shared" si="67"/>
        <v>Other capex</v>
      </c>
      <c r="AU552" s="143">
        <f t="shared" si="63"/>
        <v>0</v>
      </c>
      <c r="AV552" s="54">
        <f t="shared" si="63"/>
        <v>0</v>
      </c>
      <c r="AW552" s="54">
        <f t="shared" si="63"/>
        <v>0</v>
      </c>
      <c r="AX552" s="54">
        <f t="shared" si="63"/>
        <v>0</v>
      </c>
      <c r="AY552" s="185">
        <f t="shared" si="63"/>
        <v>0</v>
      </c>
      <c r="AZ552"/>
      <c r="BA552" s="44" t="str">
        <f t="shared" ca="1" si="70"/>
        <v>VariantAllowances</v>
      </c>
      <c r="BB552" s="44" t="str">
        <f t="shared" si="68"/>
        <v>TO variant allowances</v>
      </c>
      <c r="BC552" s="44" t="str">
        <f t="shared" si="69"/>
        <v>Variant allowances allocation to totex categories</v>
      </c>
    </row>
    <row r="553" spans="4:55">
      <c r="D553">
        <f t="shared" si="64"/>
        <v>1</v>
      </c>
      <c r="E553" s="212" t="str">
        <f t="shared" si="65"/>
        <v>Removal and remediation of pipe stabbings Price Control Deliverable</v>
      </c>
      <c r="G553" s="43" t="str">
        <f t="shared" si="66"/>
        <v>£m 23/24 prices</v>
      </c>
      <c r="H553" s="43" t="str">
        <f t="shared" si="67"/>
        <v>Non-operational capex</v>
      </c>
      <c r="AU553" s="143">
        <f t="shared" si="63"/>
        <v>0</v>
      </c>
      <c r="AV553" s="54">
        <f t="shared" si="63"/>
        <v>0</v>
      </c>
      <c r="AW553" s="54">
        <f t="shared" si="63"/>
        <v>0</v>
      </c>
      <c r="AX553" s="54">
        <f t="shared" si="63"/>
        <v>0</v>
      </c>
      <c r="AY553" s="185">
        <f t="shared" si="63"/>
        <v>0</v>
      </c>
      <c r="AZ553"/>
      <c r="BA553" s="44" t="str">
        <f t="shared" ca="1" si="70"/>
        <v>VariantAllowances</v>
      </c>
      <c r="BB553" s="44" t="str">
        <f t="shared" si="68"/>
        <v>TO variant allowances</v>
      </c>
      <c r="BC553" s="44" t="str">
        <f t="shared" si="69"/>
        <v>Variant allowances allocation to totex categories</v>
      </c>
    </row>
    <row r="554" spans="4:55">
      <c r="D554">
        <f t="shared" si="64"/>
        <v>1</v>
      </c>
      <c r="E554" s="212" t="str">
        <f t="shared" si="65"/>
        <v>Removal and remediation of pipe stabbings Price Control Deliverable</v>
      </c>
      <c r="G554" s="43" t="str">
        <f t="shared" si="66"/>
        <v>£m 23/24 prices</v>
      </c>
      <c r="H554" s="43" t="str">
        <f t="shared" si="67"/>
        <v>Non-load (opex)</v>
      </c>
      <c r="AU554" s="143">
        <f t="shared" si="63"/>
        <v>0</v>
      </c>
      <c r="AV554" s="54">
        <f t="shared" si="63"/>
        <v>0</v>
      </c>
      <c r="AW554" s="54">
        <f t="shared" si="63"/>
        <v>0</v>
      </c>
      <c r="AX554" s="54">
        <f t="shared" si="63"/>
        <v>0</v>
      </c>
      <c r="AY554" s="185">
        <f t="shared" si="63"/>
        <v>0</v>
      </c>
      <c r="AZ554"/>
      <c r="BA554" s="44" t="str">
        <f t="shared" ca="1" si="70"/>
        <v>VariantAllowances</v>
      </c>
      <c r="BB554" s="44" t="str">
        <f t="shared" si="68"/>
        <v>TO variant allowances</v>
      </c>
      <c r="BC554" s="44" t="str">
        <f t="shared" si="69"/>
        <v>Variant allowances allocation to totex categories</v>
      </c>
    </row>
    <row r="555" spans="4:55">
      <c r="D555">
        <f t="shared" si="64"/>
        <v>1</v>
      </c>
      <c r="E555" s="201" t="str">
        <f t="shared" si="65"/>
        <v>Removal and remediation of pipe stabbings Price Control Deliverable</v>
      </c>
      <c r="F555" s="225"/>
      <c r="G555" s="202" t="str">
        <f t="shared" si="66"/>
        <v>£m 23/24 prices</v>
      </c>
      <c r="H555" s="202" t="str">
        <f t="shared" si="67"/>
        <v>Indirects (opex)</v>
      </c>
      <c r="I555" s="202"/>
      <c r="J555" s="202"/>
      <c r="K555" s="202"/>
      <c r="L555" s="202"/>
      <c r="M555" s="202"/>
      <c r="N555" s="202"/>
      <c r="O555" s="202"/>
      <c r="P555" s="202"/>
      <c r="Q555" s="202"/>
      <c r="R555" s="202"/>
      <c r="S555" s="202"/>
      <c r="T555" s="202"/>
      <c r="U555" s="202"/>
      <c r="V555" s="202"/>
      <c r="W555" s="202"/>
      <c r="X555" s="202"/>
      <c r="Y555" s="202"/>
      <c r="Z555" s="202"/>
      <c r="AA555" s="202"/>
      <c r="AB555" s="202"/>
      <c r="AC555" s="202"/>
      <c r="AD555" s="202"/>
      <c r="AE555" s="202"/>
      <c r="AF555" s="202"/>
      <c r="AG555" s="202"/>
      <c r="AH555" s="202"/>
      <c r="AI555" s="202"/>
      <c r="AJ555" s="202"/>
      <c r="AK555" s="202"/>
      <c r="AL555" s="202"/>
      <c r="AM555" s="202"/>
      <c r="AN555" s="202"/>
      <c r="AO555" s="202"/>
      <c r="AP555" s="202"/>
      <c r="AQ555" s="202"/>
      <c r="AR555" s="202"/>
      <c r="AS555" s="202"/>
      <c r="AT555" s="203"/>
      <c r="AU555" s="232">
        <f t="shared" si="63"/>
        <v>0</v>
      </c>
      <c r="AV555" s="233">
        <f t="shared" si="63"/>
        <v>0</v>
      </c>
      <c r="AW555" s="233">
        <f t="shared" si="63"/>
        <v>0</v>
      </c>
      <c r="AX555" s="233">
        <f t="shared" si="63"/>
        <v>0</v>
      </c>
      <c r="AY555" s="234">
        <f t="shared" si="63"/>
        <v>0</v>
      </c>
      <c r="AZ555"/>
      <c r="BA555" s="44" t="str">
        <f t="shared" ca="1" si="70"/>
        <v>VariantAllowances</v>
      </c>
      <c r="BB555" s="44" t="str">
        <f t="shared" si="68"/>
        <v>TO variant allowances</v>
      </c>
      <c r="BC555" s="44" t="str">
        <f t="shared" si="69"/>
        <v>Variant allowances allocation to totex categories</v>
      </c>
    </row>
    <row r="556" spans="4:55">
      <c r="D556">
        <f t="shared" si="64"/>
        <v>1</v>
      </c>
      <c r="E556" s="195" t="str">
        <f t="shared" si="65"/>
        <v>Actuator replacement Price Control Deliverable</v>
      </c>
      <c r="F556" s="221"/>
      <c r="G556" s="196" t="str">
        <f t="shared" si="66"/>
        <v>£m 23/24 prices</v>
      </c>
      <c r="H556" s="196" t="str">
        <f t="shared" si="67"/>
        <v>Load related capex</v>
      </c>
      <c r="I556" s="196"/>
      <c r="J556" s="196"/>
      <c r="K556" s="196"/>
      <c r="L556" s="196"/>
      <c r="M556" s="196"/>
      <c r="N556" s="196"/>
      <c r="O556" s="196"/>
      <c r="P556" s="196"/>
      <c r="Q556" s="196"/>
      <c r="R556" s="196"/>
      <c r="S556" s="196"/>
      <c r="T556" s="196"/>
      <c r="U556" s="196"/>
      <c r="V556" s="196"/>
      <c r="W556" s="196"/>
      <c r="X556" s="196"/>
      <c r="Y556" s="196"/>
      <c r="Z556" s="196"/>
      <c r="AA556" s="196"/>
      <c r="AB556" s="196"/>
      <c r="AC556" s="196"/>
      <c r="AD556" s="196"/>
      <c r="AE556" s="196"/>
      <c r="AF556" s="196"/>
      <c r="AG556" s="196"/>
      <c r="AH556" s="196"/>
      <c r="AI556" s="196"/>
      <c r="AJ556" s="196"/>
      <c r="AK556" s="196"/>
      <c r="AL556" s="196"/>
      <c r="AM556" s="196"/>
      <c r="AN556" s="196"/>
      <c r="AO556" s="196"/>
      <c r="AP556" s="196"/>
      <c r="AQ556" s="196"/>
      <c r="AR556" s="196"/>
      <c r="AS556" s="196"/>
      <c r="AT556" s="197"/>
      <c r="AU556" s="229">
        <f t="shared" si="63"/>
        <v>0</v>
      </c>
      <c r="AV556" s="230">
        <f t="shared" si="63"/>
        <v>0</v>
      </c>
      <c r="AW556" s="230">
        <f t="shared" si="63"/>
        <v>0</v>
      </c>
      <c r="AX556" s="230">
        <f t="shared" si="63"/>
        <v>0</v>
      </c>
      <c r="AY556" s="231">
        <f t="shared" si="63"/>
        <v>0</v>
      </c>
      <c r="AZ556"/>
      <c r="BA556" s="44" t="str">
        <f t="shared" ca="1" si="70"/>
        <v>VariantAllowances</v>
      </c>
      <c r="BB556" s="44" t="str">
        <f t="shared" si="68"/>
        <v>TO variant allowances</v>
      </c>
      <c r="BC556" s="44" t="str">
        <f t="shared" si="69"/>
        <v>Variant allowances allocation to totex categories</v>
      </c>
    </row>
    <row r="557" spans="4:55">
      <c r="D557">
        <f t="shared" si="64"/>
        <v>1</v>
      </c>
      <c r="E557" s="212" t="str">
        <f t="shared" si="65"/>
        <v>Actuator replacement Price Control Deliverable</v>
      </c>
      <c r="G557" s="43" t="str">
        <f t="shared" si="66"/>
        <v>£m 23/24 prices</v>
      </c>
      <c r="H557" s="43" t="str">
        <f t="shared" si="67"/>
        <v>Asset replacement capex</v>
      </c>
      <c r="AU557" s="143">
        <f t="shared" si="63"/>
        <v>8.011899769144798E-2</v>
      </c>
      <c r="AV557" s="54">
        <f t="shared" si="63"/>
        <v>7.9317837823978457E-2</v>
      </c>
      <c r="AW557" s="54">
        <f t="shared" si="63"/>
        <v>0.43679326633063581</v>
      </c>
      <c r="AX557" s="54">
        <f t="shared" si="63"/>
        <v>1.6130926654239712</v>
      </c>
      <c r="AY557" s="185">
        <f t="shared" si="63"/>
        <v>7.171895416412335</v>
      </c>
      <c r="AZ557"/>
      <c r="BA557" s="44" t="str">
        <f t="shared" ca="1" si="70"/>
        <v>VariantAllowances</v>
      </c>
      <c r="BB557" s="44" t="str">
        <f t="shared" si="68"/>
        <v>TO variant allowances</v>
      </c>
      <c r="BC557" s="44" t="str">
        <f t="shared" si="69"/>
        <v>Variant allowances allocation to totex categories</v>
      </c>
    </row>
    <row r="558" spans="4:55">
      <c r="D558">
        <f t="shared" si="64"/>
        <v>1</v>
      </c>
      <c r="E558" s="212" t="str">
        <f t="shared" si="65"/>
        <v>Actuator replacement Price Control Deliverable</v>
      </c>
      <c r="G558" s="43" t="str">
        <f t="shared" si="66"/>
        <v>£m 23/24 prices</v>
      </c>
      <c r="H558" s="43" t="str">
        <f t="shared" si="67"/>
        <v>Other capex</v>
      </c>
      <c r="AU558" s="143">
        <f t="shared" ref="AU558:AY567" si="71">INDEX(AU$8:AU$50,MATCH($E558,$E$8:$E$50,0))*AU298</f>
        <v>0</v>
      </c>
      <c r="AV558" s="54">
        <f t="shared" si="71"/>
        <v>0</v>
      </c>
      <c r="AW558" s="54">
        <f t="shared" si="71"/>
        <v>0</v>
      </c>
      <c r="AX558" s="54">
        <f t="shared" si="71"/>
        <v>0</v>
      </c>
      <c r="AY558" s="185">
        <f t="shared" si="71"/>
        <v>0</v>
      </c>
      <c r="AZ558"/>
      <c r="BA558" s="44" t="str">
        <f t="shared" ca="1" si="70"/>
        <v>VariantAllowances</v>
      </c>
      <c r="BB558" s="44" t="str">
        <f t="shared" si="68"/>
        <v>TO variant allowances</v>
      </c>
      <c r="BC558" s="44" t="str">
        <f t="shared" si="69"/>
        <v>Variant allowances allocation to totex categories</v>
      </c>
    </row>
    <row r="559" spans="4:55">
      <c r="D559">
        <f t="shared" si="64"/>
        <v>1</v>
      </c>
      <c r="E559" s="212" t="str">
        <f t="shared" si="65"/>
        <v>Actuator replacement Price Control Deliverable</v>
      </c>
      <c r="G559" s="43" t="str">
        <f t="shared" si="66"/>
        <v>£m 23/24 prices</v>
      </c>
      <c r="H559" s="43" t="str">
        <f t="shared" si="67"/>
        <v>Non-operational capex</v>
      </c>
      <c r="AU559" s="143">
        <f t="shared" si="71"/>
        <v>0</v>
      </c>
      <c r="AV559" s="54">
        <f t="shared" si="71"/>
        <v>0</v>
      </c>
      <c r="AW559" s="54">
        <f t="shared" si="71"/>
        <v>0</v>
      </c>
      <c r="AX559" s="54">
        <f t="shared" si="71"/>
        <v>0</v>
      </c>
      <c r="AY559" s="185">
        <f t="shared" si="71"/>
        <v>0</v>
      </c>
      <c r="AZ559"/>
      <c r="BA559" s="44" t="str">
        <f t="shared" ca="1" si="70"/>
        <v>VariantAllowances</v>
      </c>
      <c r="BB559" s="44" t="str">
        <f t="shared" si="68"/>
        <v>TO variant allowances</v>
      </c>
      <c r="BC559" s="44" t="str">
        <f t="shared" si="69"/>
        <v>Variant allowances allocation to totex categories</v>
      </c>
    </row>
    <row r="560" spans="4:55">
      <c r="D560">
        <f t="shared" si="64"/>
        <v>1</v>
      </c>
      <c r="E560" s="212" t="str">
        <f t="shared" si="65"/>
        <v>Actuator replacement Price Control Deliverable</v>
      </c>
      <c r="G560" s="43" t="str">
        <f t="shared" si="66"/>
        <v>£m 23/24 prices</v>
      </c>
      <c r="H560" s="43" t="str">
        <f t="shared" si="67"/>
        <v>Non-load (opex)</v>
      </c>
      <c r="AU560" s="143">
        <f t="shared" si="71"/>
        <v>0</v>
      </c>
      <c r="AV560" s="54">
        <f t="shared" si="71"/>
        <v>0</v>
      </c>
      <c r="AW560" s="54">
        <f t="shared" si="71"/>
        <v>0</v>
      </c>
      <c r="AX560" s="54">
        <f t="shared" si="71"/>
        <v>0</v>
      </c>
      <c r="AY560" s="185">
        <f t="shared" si="71"/>
        <v>0</v>
      </c>
      <c r="AZ560"/>
      <c r="BA560" s="44" t="str">
        <f t="shared" ca="1" si="70"/>
        <v>VariantAllowances</v>
      </c>
      <c r="BB560" s="44" t="str">
        <f t="shared" si="68"/>
        <v>TO variant allowances</v>
      </c>
      <c r="BC560" s="44" t="str">
        <f t="shared" si="69"/>
        <v>Variant allowances allocation to totex categories</v>
      </c>
    </row>
    <row r="561" spans="4:55">
      <c r="D561">
        <f t="shared" si="64"/>
        <v>1</v>
      </c>
      <c r="E561" s="201" t="str">
        <f t="shared" si="65"/>
        <v>Actuator replacement Price Control Deliverable</v>
      </c>
      <c r="F561" s="225"/>
      <c r="G561" s="202" t="str">
        <f t="shared" si="66"/>
        <v>£m 23/24 prices</v>
      </c>
      <c r="H561" s="202" t="str">
        <f t="shared" si="67"/>
        <v>Indirects (opex)</v>
      </c>
      <c r="I561" s="202"/>
      <c r="J561" s="202"/>
      <c r="K561" s="202"/>
      <c r="L561" s="202"/>
      <c r="M561" s="202"/>
      <c r="N561" s="202"/>
      <c r="O561" s="202"/>
      <c r="P561" s="202"/>
      <c r="Q561" s="202"/>
      <c r="R561" s="202"/>
      <c r="S561" s="202"/>
      <c r="T561" s="202"/>
      <c r="U561" s="202"/>
      <c r="V561" s="202"/>
      <c r="W561" s="202"/>
      <c r="X561" s="202"/>
      <c r="Y561" s="202"/>
      <c r="Z561" s="202"/>
      <c r="AA561" s="202"/>
      <c r="AB561" s="202"/>
      <c r="AC561" s="202"/>
      <c r="AD561" s="202"/>
      <c r="AE561" s="202"/>
      <c r="AF561" s="202"/>
      <c r="AG561" s="202"/>
      <c r="AH561" s="202"/>
      <c r="AI561" s="202"/>
      <c r="AJ561" s="202"/>
      <c r="AK561" s="202"/>
      <c r="AL561" s="202"/>
      <c r="AM561" s="202"/>
      <c r="AN561" s="202"/>
      <c r="AO561" s="202"/>
      <c r="AP561" s="202"/>
      <c r="AQ561" s="202"/>
      <c r="AR561" s="202"/>
      <c r="AS561" s="202"/>
      <c r="AT561" s="203"/>
      <c r="AU561" s="232">
        <f t="shared" si="71"/>
        <v>0</v>
      </c>
      <c r="AV561" s="233">
        <f t="shared" si="71"/>
        <v>0</v>
      </c>
      <c r="AW561" s="233">
        <f t="shared" si="71"/>
        <v>0</v>
      </c>
      <c r="AX561" s="233">
        <f t="shared" si="71"/>
        <v>0</v>
      </c>
      <c r="AY561" s="234">
        <f t="shared" si="71"/>
        <v>0</v>
      </c>
      <c r="AZ561"/>
      <c r="BA561" s="44" t="str">
        <f t="shared" ca="1" si="70"/>
        <v>VariantAllowances</v>
      </c>
      <c r="BB561" s="44" t="str">
        <f t="shared" si="68"/>
        <v>TO variant allowances</v>
      </c>
      <c r="BC561" s="44" t="str">
        <f t="shared" si="69"/>
        <v>Variant allowances allocation to totex categories</v>
      </c>
    </row>
    <row r="562" spans="4:55">
      <c r="D562">
        <f t="shared" si="64"/>
        <v>2.5</v>
      </c>
      <c r="E562" s="195" t="str">
        <f t="shared" si="65"/>
        <v>GT2/GT3 Crossover Adjustment</v>
      </c>
      <c r="F562" s="221"/>
      <c r="G562" s="196" t="str">
        <f t="shared" si="66"/>
        <v>£m 23/24 prices</v>
      </c>
      <c r="H562" s="196" t="str">
        <f t="shared" si="67"/>
        <v>Load related capex</v>
      </c>
      <c r="I562" s="196"/>
      <c r="J562" s="196"/>
      <c r="K562" s="196"/>
      <c r="L562" s="196"/>
      <c r="M562" s="196"/>
      <c r="N562" s="196"/>
      <c r="O562" s="196"/>
      <c r="P562" s="196"/>
      <c r="Q562" s="196"/>
      <c r="R562" s="196"/>
      <c r="S562" s="196"/>
      <c r="T562" s="196"/>
      <c r="U562" s="196"/>
      <c r="V562" s="196"/>
      <c r="W562" s="196"/>
      <c r="X562" s="196"/>
      <c r="Y562" s="196"/>
      <c r="Z562" s="196"/>
      <c r="AA562" s="196"/>
      <c r="AB562" s="196"/>
      <c r="AC562" s="196"/>
      <c r="AD562" s="196"/>
      <c r="AE562" s="196"/>
      <c r="AF562" s="196"/>
      <c r="AG562" s="196"/>
      <c r="AH562" s="196"/>
      <c r="AI562" s="196"/>
      <c r="AJ562" s="196"/>
      <c r="AK562" s="196"/>
      <c r="AL562" s="196"/>
      <c r="AM562" s="196"/>
      <c r="AN562" s="196"/>
      <c r="AO562" s="196"/>
      <c r="AP562" s="196"/>
      <c r="AQ562" s="196"/>
      <c r="AR562" s="196"/>
      <c r="AS562" s="196"/>
      <c r="AT562" s="197"/>
      <c r="AU562" s="229">
        <f t="shared" si="71"/>
        <v>0</v>
      </c>
      <c r="AV562" s="230">
        <f t="shared" si="71"/>
        <v>0</v>
      </c>
      <c r="AW562" s="230">
        <f t="shared" si="71"/>
        <v>0</v>
      </c>
      <c r="AX562" s="230">
        <f t="shared" si="71"/>
        <v>0</v>
      </c>
      <c r="AY562" s="231">
        <f t="shared" si="71"/>
        <v>0</v>
      </c>
      <c r="AZ562"/>
      <c r="BA562" s="44" t="str">
        <f t="shared" ca="1" si="70"/>
        <v>VariantAllowances</v>
      </c>
      <c r="BB562" s="44" t="str">
        <f t="shared" si="68"/>
        <v>TO variant allowances</v>
      </c>
      <c r="BC562" s="44" t="str">
        <f t="shared" si="69"/>
        <v>Variant allowances allocation to totex categories</v>
      </c>
    </row>
    <row r="563" spans="4:55">
      <c r="D563">
        <f t="shared" si="64"/>
        <v>2.5</v>
      </c>
      <c r="E563" s="212" t="str">
        <f t="shared" si="65"/>
        <v>GT2/GT3 Crossover Adjustment</v>
      </c>
      <c r="G563" s="43" t="str">
        <f t="shared" si="66"/>
        <v>£m 23/24 prices</v>
      </c>
      <c r="H563" s="43" t="str">
        <f t="shared" si="67"/>
        <v>Asset replacement capex</v>
      </c>
      <c r="AU563" s="143">
        <f t="shared" si="71"/>
        <v>0</v>
      </c>
      <c r="AV563" s="54">
        <f t="shared" si="71"/>
        <v>0</v>
      </c>
      <c r="AW563" s="54">
        <f t="shared" si="71"/>
        <v>0</v>
      </c>
      <c r="AX563" s="54">
        <f t="shared" si="71"/>
        <v>0</v>
      </c>
      <c r="AY563" s="185">
        <f t="shared" si="71"/>
        <v>0</v>
      </c>
      <c r="AZ563"/>
      <c r="BA563" s="44" t="str">
        <f t="shared" ca="1" si="70"/>
        <v>VariantAllowances</v>
      </c>
      <c r="BB563" s="44" t="str">
        <f t="shared" si="68"/>
        <v>TO variant allowances</v>
      </c>
      <c r="BC563" s="44" t="str">
        <f t="shared" si="69"/>
        <v>Variant allowances allocation to totex categories</v>
      </c>
    </row>
    <row r="564" spans="4:55">
      <c r="D564">
        <f t="shared" si="64"/>
        <v>2.5</v>
      </c>
      <c r="E564" s="212" t="str">
        <f t="shared" si="65"/>
        <v>GT2/GT3 Crossover Adjustment</v>
      </c>
      <c r="G564" s="43" t="str">
        <f t="shared" si="66"/>
        <v>£m 23/24 prices</v>
      </c>
      <c r="H564" s="43" t="str">
        <f t="shared" si="67"/>
        <v>Other capex</v>
      </c>
      <c r="AU564" s="143">
        <f t="shared" si="71"/>
        <v>0</v>
      </c>
      <c r="AV564" s="54">
        <f t="shared" si="71"/>
        <v>0</v>
      </c>
      <c r="AW564" s="54">
        <f t="shared" si="71"/>
        <v>0</v>
      </c>
      <c r="AX564" s="54">
        <f t="shared" si="71"/>
        <v>0</v>
      </c>
      <c r="AY564" s="185">
        <f t="shared" si="71"/>
        <v>0</v>
      </c>
      <c r="AZ564"/>
      <c r="BA564" s="44" t="str">
        <f t="shared" ca="1" si="70"/>
        <v>VariantAllowances</v>
      </c>
      <c r="BB564" s="44" t="str">
        <f t="shared" si="68"/>
        <v>TO variant allowances</v>
      </c>
      <c r="BC564" s="44" t="str">
        <f t="shared" si="69"/>
        <v>Variant allowances allocation to totex categories</v>
      </c>
    </row>
    <row r="565" spans="4:55">
      <c r="D565">
        <f t="shared" si="64"/>
        <v>2.5</v>
      </c>
      <c r="E565" s="212" t="str">
        <f t="shared" si="65"/>
        <v>GT2/GT3 Crossover Adjustment</v>
      </c>
      <c r="G565" s="43" t="str">
        <f t="shared" si="66"/>
        <v>£m 23/24 prices</v>
      </c>
      <c r="H565" s="43" t="str">
        <f t="shared" si="67"/>
        <v>Non-operational capex</v>
      </c>
      <c r="AU565" s="143">
        <f t="shared" si="71"/>
        <v>0</v>
      </c>
      <c r="AV565" s="54">
        <f t="shared" si="71"/>
        <v>0</v>
      </c>
      <c r="AW565" s="54">
        <f t="shared" si="71"/>
        <v>0</v>
      </c>
      <c r="AX565" s="54">
        <f t="shared" si="71"/>
        <v>0</v>
      </c>
      <c r="AY565" s="185">
        <f t="shared" si="71"/>
        <v>0</v>
      </c>
      <c r="AZ565"/>
      <c r="BA565" s="44" t="str">
        <f t="shared" ca="1" si="70"/>
        <v>VariantAllowances</v>
      </c>
      <c r="BB565" s="44" t="str">
        <f t="shared" si="68"/>
        <v>TO variant allowances</v>
      </c>
      <c r="BC565" s="44" t="str">
        <f t="shared" si="69"/>
        <v>Variant allowances allocation to totex categories</v>
      </c>
    </row>
    <row r="566" spans="4:55">
      <c r="D566">
        <f t="shared" si="64"/>
        <v>2.5</v>
      </c>
      <c r="E566" s="212" t="str">
        <f t="shared" si="65"/>
        <v>GT2/GT3 Crossover Adjustment</v>
      </c>
      <c r="G566" s="43" t="str">
        <f t="shared" si="66"/>
        <v>£m 23/24 prices</v>
      </c>
      <c r="H566" s="43" t="str">
        <f t="shared" si="67"/>
        <v>Non-load (opex)</v>
      </c>
      <c r="AU566" s="143">
        <f t="shared" si="71"/>
        <v>0</v>
      </c>
      <c r="AV566" s="54">
        <f t="shared" si="71"/>
        <v>0</v>
      </c>
      <c r="AW566" s="54">
        <f t="shared" si="71"/>
        <v>0</v>
      </c>
      <c r="AX566" s="54">
        <f t="shared" si="71"/>
        <v>0</v>
      </c>
      <c r="AY566" s="185">
        <f t="shared" si="71"/>
        <v>0</v>
      </c>
      <c r="AZ566"/>
      <c r="BA566" s="44" t="str">
        <f t="shared" ca="1" si="70"/>
        <v>VariantAllowances</v>
      </c>
      <c r="BB566" s="44" t="str">
        <f t="shared" si="68"/>
        <v>TO variant allowances</v>
      </c>
      <c r="BC566" s="44" t="str">
        <f t="shared" si="69"/>
        <v>Variant allowances allocation to totex categories</v>
      </c>
    </row>
    <row r="567" spans="4:55">
      <c r="D567">
        <f t="shared" si="64"/>
        <v>2.5</v>
      </c>
      <c r="E567" s="201" t="str">
        <f t="shared" si="65"/>
        <v>GT2/GT3 Crossover Adjustment</v>
      </c>
      <c r="F567" s="225"/>
      <c r="G567" s="202" t="str">
        <f t="shared" si="66"/>
        <v>£m 23/24 prices</v>
      </c>
      <c r="H567" s="202" t="str">
        <f t="shared" si="67"/>
        <v>Indirects (opex)</v>
      </c>
      <c r="I567" s="202"/>
      <c r="J567" s="202"/>
      <c r="K567" s="202"/>
      <c r="L567" s="202"/>
      <c r="M567" s="202"/>
      <c r="N567" s="202"/>
      <c r="O567" s="202"/>
      <c r="P567" s="202"/>
      <c r="Q567" s="202"/>
      <c r="R567" s="202"/>
      <c r="S567" s="202"/>
      <c r="T567" s="202"/>
      <c r="U567" s="202"/>
      <c r="V567" s="202"/>
      <c r="W567" s="202"/>
      <c r="X567" s="202"/>
      <c r="Y567" s="202"/>
      <c r="Z567" s="202"/>
      <c r="AA567" s="202"/>
      <c r="AB567" s="202"/>
      <c r="AC567" s="202"/>
      <c r="AD567" s="202"/>
      <c r="AE567" s="202"/>
      <c r="AF567" s="202"/>
      <c r="AG567" s="202"/>
      <c r="AH567" s="202"/>
      <c r="AI567" s="202"/>
      <c r="AJ567" s="202"/>
      <c r="AK567" s="202"/>
      <c r="AL567" s="202"/>
      <c r="AM567" s="202"/>
      <c r="AN567" s="202"/>
      <c r="AO567" s="202"/>
      <c r="AP567" s="202"/>
      <c r="AQ567" s="202"/>
      <c r="AR567" s="202"/>
      <c r="AS567" s="202"/>
      <c r="AT567" s="203"/>
      <c r="AU567" s="232">
        <f t="shared" si="71"/>
        <v>0</v>
      </c>
      <c r="AV567" s="233">
        <f t="shared" si="71"/>
        <v>0</v>
      </c>
      <c r="AW567" s="233">
        <f t="shared" si="71"/>
        <v>0</v>
      </c>
      <c r="AX567" s="233">
        <f t="shared" si="71"/>
        <v>0</v>
      </c>
      <c r="AY567" s="234">
        <f t="shared" si="71"/>
        <v>0</v>
      </c>
      <c r="AZ567"/>
      <c r="BA567" s="44" t="str">
        <f t="shared" ca="1" si="70"/>
        <v>VariantAllowances</v>
      </c>
      <c r="BB567" s="44" t="str">
        <f t="shared" si="68"/>
        <v>TO variant allowances</v>
      </c>
      <c r="BC567" s="44" t="str">
        <f t="shared" si="69"/>
        <v>Variant allowances allocation to totex categories</v>
      </c>
    </row>
    <row r="568" spans="4:55">
      <c r="D568">
        <f t="shared" si="64"/>
        <v>0</v>
      </c>
      <c r="E568" s="195" t="str">
        <f t="shared" si="65"/>
        <v>Spare 1</v>
      </c>
      <c r="F568" s="221"/>
      <c r="G568" s="196" t="str">
        <f t="shared" si="66"/>
        <v>£m 23/24 prices</v>
      </c>
      <c r="H568" s="196" t="str">
        <f t="shared" si="67"/>
        <v>Load related capex</v>
      </c>
      <c r="I568" s="196"/>
      <c r="J568" s="196"/>
      <c r="K568" s="196"/>
      <c r="L568" s="196"/>
      <c r="M568" s="196"/>
      <c r="N568" s="196"/>
      <c r="O568" s="196"/>
      <c r="P568" s="196"/>
      <c r="Q568" s="196"/>
      <c r="R568" s="196"/>
      <c r="S568" s="196"/>
      <c r="T568" s="196"/>
      <c r="U568" s="196"/>
      <c r="V568" s="196"/>
      <c r="W568" s="196"/>
      <c r="X568" s="196"/>
      <c r="Y568" s="196"/>
      <c r="Z568" s="196"/>
      <c r="AA568" s="196"/>
      <c r="AB568" s="196"/>
      <c r="AC568" s="196"/>
      <c r="AD568" s="196"/>
      <c r="AE568" s="196"/>
      <c r="AF568" s="196"/>
      <c r="AG568" s="196"/>
      <c r="AH568" s="196"/>
      <c r="AI568" s="196"/>
      <c r="AJ568" s="196"/>
      <c r="AK568" s="196"/>
      <c r="AL568" s="196"/>
      <c r="AM568" s="196"/>
      <c r="AN568" s="196"/>
      <c r="AO568" s="196"/>
      <c r="AP568" s="196"/>
      <c r="AQ568" s="196"/>
      <c r="AR568" s="196"/>
      <c r="AS568" s="196"/>
      <c r="AT568" s="197"/>
      <c r="AU568" s="229">
        <f t="shared" ref="AU568:AY577" si="72">INDEX(AU$8:AU$50,MATCH($E568,$E$8:$E$50,0))*AU308</f>
        <v>0</v>
      </c>
      <c r="AV568" s="230">
        <f t="shared" si="72"/>
        <v>0</v>
      </c>
      <c r="AW568" s="230">
        <f t="shared" si="72"/>
        <v>0</v>
      </c>
      <c r="AX568" s="230">
        <f t="shared" si="72"/>
        <v>0</v>
      </c>
      <c r="AY568" s="231">
        <f t="shared" si="72"/>
        <v>0</v>
      </c>
      <c r="AZ568"/>
      <c r="BA568" s="44" t="str">
        <f t="shared" ca="1" si="70"/>
        <v>VariantAllowances</v>
      </c>
      <c r="BB568" s="44" t="str">
        <f t="shared" si="68"/>
        <v>TO variant allowances</v>
      </c>
      <c r="BC568" s="44" t="str">
        <f t="shared" si="69"/>
        <v>Variant allowances allocation to totex categories</v>
      </c>
    </row>
    <row r="569" spans="4:55">
      <c r="D569">
        <f t="shared" si="64"/>
        <v>0</v>
      </c>
      <c r="E569" s="212" t="str">
        <f t="shared" si="65"/>
        <v>Spare 1</v>
      </c>
      <c r="G569" s="43" t="str">
        <f t="shared" si="66"/>
        <v>£m 23/24 prices</v>
      </c>
      <c r="H569" s="43" t="str">
        <f t="shared" si="67"/>
        <v>Asset replacement capex</v>
      </c>
      <c r="AU569" s="143">
        <f t="shared" si="72"/>
        <v>0</v>
      </c>
      <c r="AV569" s="54">
        <f t="shared" si="72"/>
        <v>0</v>
      </c>
      <c r="AW569" s="54">
        <f t="shared" si="72"/>
        <v>0</v>
      </c>
      <c r="AX569" s="54">
        <f t="shared" si="72"/>
        <v>0</v>
      </c>
      <c r="AY569" s="185">
        <f t="shared" si="72"/>
        <v>0</v>
      </c>
      <c r="AZ569"/>
      <c r="BA569" s="44" t="str">
        <f t="shared" ca="1" si="70"/>
        <v>VariantAllowances</v>
      </c>
      <c r="BB569" s="44" t="str">
        <f t="shared" si="68"/>
        <v>TO variant allowances</v>
      </c>
      <c r="BC569" s="44" t="str">
        <f t="shared" si="69"/>
        <v>Variant allowances allocation to totex categories</v>
      </c>
    </row>
    <row r="570" spans="4:55">
      <c r="D570">
        <f t="shared" si="64"/>
        <v>0</v>
      </c>
      <c r="E570" s="212" t="str">
        <f t="shared" si="65"/>
        <v>Spare 1</v>
      </c>
      <c r="G570" s="43" t="str">
        <f t="shared" si="66"/>
        <v>£m 23/24 prices</v>
      </c>
      <c r="H570" s="43" t="str">
        <f t="shared" si="67"/>
        <v>Other capex</v>
      </c>
      <c r="AU570" s="143">
        <f t="shared" si="72"/>
        <v>0</v>
      </c>
      <c r="AV570" s="54">
        <f t="shared" si="72"/>
        <v>0</v>
      </c>
      <c r="AW570" s="54">
        <f t="shared" si="72"/>
        <v>0</v>
      </c>
      <c r="AX570" s="54">
        <f t="shared" si="72"/>
        <v>0</v>
      </c>
      <c r="AY570" s="185">
        <f t="shared" si="72"/>
        <v>0</v>
      </c>
      <c r="AZ570"/>
      <c r="BA570" s="44" t="str">
        <f t="shared" ca="1" si="70"/>
        <v>VariantAllowances</v>
      </c>
      <c r="BB570" s="44" t="str">
        <f t="shared" si="68"/>
        <v>TO variant allowances</v>
      </c>
      <c r="BC570" s="44" t="str">
        <f t="shared" si="69"/>
        <v>Variant allowances allocation to totex categories</v>
      </c>
    </row>
    <row r="571" spans="4:55">
      <c r="D571">
        <f t="shared" si="64"/>
        <v>0</v>
      </c>
      <c r="E571" s="212" t="str">
        <f t="shared" si="65"/>
        <v>Spare 1</v>
      </c>
      <c r="G571" s="43" t="str">
        <f t="shared" si="66"/>
        <v>£m 23/24 prices</v>
      </c>
      <c r="H571" s="43" t="str">
        <f t="shared" si="67"/>
        <v>Non-operational capex</v>
      </c>
      <c r="AU571" s="143">
        <f t="shared" si="72"/>
        <v>0</v>
      </c>
      <c r="AV571" s="54">
        <f t="shared" si="72"/>
        <v>0</v>
      </c>
      <c r="AW571" s="54">
        <f t="shared" si="72"/>
        <v>0</v>
      </c>
      <c r="AX571" s="54">
        <f t="shared" si="72"/>
        <v>0</v>
      </c>
      <c r="AY571" s="185">
        <f t="shared" si="72"/>
        <v>0</v>
      </c>
      <c r="AZ571"/>
      <c r="BA571" s="44" t="str">
        <f t="shared" ca="1" si="70"/>
        <v>VariantAllowances</v>
      </c>
      <c r="BB571" s="44" t="str">
        <f t="shared" si="68"/>
        <v>TO variant allowances</v>
      </c>
      <c r="BC571" s="44" t="str">
        <f t="shared" si="69"/>
        <v>Variant allowances allocation to totex categories</v>
      </c>
    </row>
    <row r="572" spans="4:55">
      <c r="D572">
        <f t="shared" si="64"/>
        <v>0</v>
      </c>
      <c r="E572" s="212" t="str">
        <f t="shared" si="65"/>
        <v>Spare 1</v>
      </c>
      <c r="G572" s="43" t="str">
        <f t="shared" si="66"/>
        <v>£m 23/24 prices</v>
      </c>
      <c r="H572" s="43" t="str">
        <f t="shared" si="67"/>
        <v>Non-load (opex)</v>
      </c>
      <c r="AU572" s="143">
        <f t="shared" si="72"/>
        <v>0</v>
      </c>
      <c r="AV572" s="54">
        <f t="shared" si="72"/>
        <v>0</v>
      </c>
      <c r="AW572" s="54">
        <f t="shared" si="72"/>
        <v>0</v>
      </c>
      <c r="AX572" s="54">
        <f t="shared" si="72"/>
        <v>0</v>
      </c>
      <c r="AY572" s="185">
        <f t="shared" si="72"/>
        <v>0</v>
      </c>
      <c r="AZ572"/>
      <c r="BA572" s="44" t="str">
        <f t="shared" ca="1" si="70"/>
        <v>VariantAllowances</v>
      </c>
      <c r="BB572" s="44" t="str">
        <f t="shared" si="68"/>
        <v>TO variant allowances</v>
      </c>
      <c r="BC572" s="44" t="str">
        <f t="shared" si="69"/>
        <v>Variant allowances allocation to totex categories</v>
      </c>
    </row>
    <row r="573" spans="4:55">
      <c r="D573">
        <f t="shared" si="64"/>
        <v>0</v>
      </c>
      <c r="E573" s="201" t="str">
        <f t="shared" si="65"/>
        <v>Spare 1</v>
      </c>
      <c r="F573" s="225"/>
      <c r="G573" s="202" t="str">
        <f t="shared" si="66"/>
        <v>£m 23/24 prices</v>
      </c>
      <c r="H573" s="202" t="str">
        <f t="shared" si="67"/>
        <v>Indirects (opex)</v>
      </c>
      <c r="I573" s="202"/>
      <c r="J573" s="202"/>
      <c r="K573" s="202"/>
      <c r="L573" s="202"/>
      <c r="M573" s="202"/>
      <c r="N573" s="202"/>
      <c r="O573" s="202"/>
      <c r="P573" s="202"/>
      <c r="Q573" s="202"/>
      <c r="R573" s="202"/>
      <c r="S573" s="202"/>
      <c r="T573" s="202"/>
      <c r="U573" s="202"/>
      <c r="V573" s="202"/>
      <c r="W573" s="202"/>
      <c r="X573" s="202"/>
      <c r="Y573" s="202"/>
      <c r="Z573" s="202"/>
      <c r="AA573" s="202"/>
      <c r="AB573" s="202"/>
      <c r="AC573" s="202"/>
      <c r="AD573" s="202"/>
      <c r="AE573" s="202"/>
      <c r="AF573" s="202"/>
      <c r="AG573" s="202"/>
      <c r="AH573" s="202"/>
      <c r="AI573" s="202"/>
      <c r="AJ573" s="202"/>
      <c r="AK573" s="202"/>
      <c r="AL573" s="202"/>
      <c r="AM573" s="202"/>
      <c r="AN573" s="202"/>
      <c r="AO573" s="202"/>
      <c r="AP573" s="202"/>
      <c r="AQ573" s="202"/>
      <c r="AR573" s="202"/>
      <c r="AS573" s="202"/>
      <c r="AT573" s="203"/>
      <c r="AU573" s="232">
        <f t="shared" si="72"/>
        <v>0</v>
      </c>
      <c r="AV573" s="233">
        <f t="shared" si="72"/>
        <v>0</v>
      </c>
      <c r="AW573" s="233">
        <f t="shared" si="72"/>
        <v>0</v>
      </c>
      <c r="AX573" s="233">
        <f t="shared" si="72"/>
        <v>0</v>
      </c>
      <c r="AY573" s="234">
        <f t="shared" si="72"/>
        <v>0</v>
      </c>
      <c r="AZ573"/>
      <c r="BA573" s="44" t="str">
        <f t="shared" ca="1" si="70"/>
        <v>VariantAllowances</v>
      </c>
      <c r="BB573" s="44" t="str">
        <f t="shared" si="68"/>
        <v>TO variant allowances</v>
      </c>
      <c r="BC573" s="44" t="str">
        <f t="shared" si="69"/>
        <v>Variant allowances allocation to totex categories</v>
      </c>
    </row>
    <row r="574" spans="4:55">
      <c r="D574">
        <f t="shared" si="64"/>
        <v>0</v>
      </c>
      <c r="E574" s="195" t="str">
        <f t="shared" si="65"/>
        <v>Spare 2</v>
      </c>
      <c r="F574" s="221"/>
      <c r="G574" s="196" t="str">
        <f t="shared" si="66"/>
        <v>£m 23/24 prices</v>
      </c>
      <c r="H574" s="196" t="str">
        <f t="shared" si="67"/>
        <v>Load related capex</v>
      </c>
      <c r="I574" s="196"/>
      <c r="J574" s="196"/>
      <c r="K574" s="196"/>
      <c r="L574" s="196"/>
      <c r="M574" s="196"/>
      <c r="N574" s="196"/>
      <c r="O574" s="196"/>
      <c r="P574" s="196"/>
      <c r="Q574" s="196"/>
      <c r="R574" s="196"/>
      <c r="S574" s="196"/>
      <c r="T574" s="196"/>
      <c r="U574" s="196"/>
      <c r="V574" s="196"/>
      <c r="W574" s="196"/>
      <c r="X574" s="196"/>
      <c r="Y574" s="196"/>
      <c r="Z574" s="196"/>
      <c r="AA574" s="196"/>
      <c r="AB574" s="196"/>
      <c r="AC574" s="196"/>
      <c r="AD574" s="196"/>
      <c r="AE574" s="196"/>
      <c r="AF574" s="196"/>
      <c r="AG574" s="196"/>
      <c r="AH574" s="196"/>
      <c r="AI574" s="196"/>
      <c r="AJ574" s="196"/>
      <c r="AK574" s="196"/>
      <c r="AL574" s="196"/>
      <c r="AM574" s="196"/>
      <c r="AN574" s="196"/>
      <c r="AO574" s="196"/>
      <c r="AP574" s="196"/>
      <c r="AQ574" s="196"/>
      <c r="AR574" s="196"/>
      <c r="AS574" s="196"/>
      <c r="AT574" s="197"/>
      <c r="AU574" s="229">
        <f t="shared" si="72"/>
        <v>0</v>
      </c>
      <c r="AV574" s="230">
        <f t="shared" si="72"/>
        <v>0</v>
      </c>
      <c r="AW574" s="230">
        <f t="shared" si="72"/>
        <v>0</v>
      </c>
      <c r="AX574" s="230">
        <f t="shared" si="72"/>
        <v>0</v>
      </c>
      <c r="AY574" s="231">
        <f t="shared" si="72"/>
        <v>0</v>
      </c>
      <c r="AZ574"/>
      <c r="BA574" s="44" t="str">
        <f t="shared" ca="1" si="70"/>
        <v>VariantAllowances</v>
      </c>
      <c r="BB574" s="44" t="str">
        <f t="shared" si="68"/>
        <v>TO variant allowances</v>
      </c>
      <c r="BC574" s="44" t="str">
        <f t="shared" si="69"/>
        <v>Variant allowances allocation to totex categories</v>
      </c>
    </row>
    <row r="575" spans="4:55">
      <c r="D575">
        <f t="shared" si="64"/>
        <v>0</v>
      </c>
      <c r="E575" s="212" t="str">
        <f t="shared" si="65"/>
        <v>Spare 2</v>
      </c>
      <c r="G575" s="43" t="str">
        <f t="shared" si="66"/>
        <v>£m 23/24 prices</v>
      </c>
      <c r="H575" s="43" t="str">
        <f t="shared" si="67"/>
        <v>Asset replacement capex</v>
      </c>
      <c r="AU575" s="143">
        <f t="shared" si="72"/>
        <v>0</v>
      </c>
      <c r="AV575" s="54">
        <f t="shared" si="72"/>
        <v>0</v>
      </c>
      <c r="AW575" s="54">
        <f t="shared" si="72"/>
        <v>0</v>
      </c>
      <c r="AX575" s="54">
        <f t="shared" si="72"/>
        <v>0</v>
      </c>
      <c r="AY575" s="185">
        <f t="shared" si="72"/>
        <v>0</v>
      </c>
      <c r="AZ575"/>
      <c r="BA575" s="44" t="str">
        <f t="shared" ca="1" si="70"/>
        <v>VariantAllowances</v>
      </c>
      <c r="BB575" s="44" t="str">
        <f t="shared" si="68"/>
        <v>TO variant allowances</v>
      </c>
      <c r="BC575" s="44" t="str">
        <f t="shared" si="69"/>
        <v>Variant allowances allocation to totex categories</v>
      </c>
    </row>
    <row r="576" spans="4:55">
      <c r="D576">
        <f t="shared" si="64"/>
        <v>0</v>
      </c>
      <c r="E576" s="212" t="str">
        <f t="shared" si="65"/>
        <v>Spare 2</v>
      </c>
      <c r="G576" s="43" t="str">
        <f t="shared" si="66"/>
        <v>£m 23/24 prices</v>
      </c>
      <c r="H576" s="43" t="str">
        <f t="shared" si="67"/>
        <v>Other capex</v>
      </c>
      <c r="AU576" s="143">
        <f t="shared" si="72"/>
        <v>0</v>
      </c>
      <c r="AV576" s="54">
        <f t="shared" si="72"/>
        <v>0</v>
      </c>
      <c r="AW576" s="54">
        <f t="shared" si="72"/>
        <v>0</v>
      </c>
      <c r="AX576" s="54">
        <f t="shared" si="72"/>
        <v>0</v>
      </c>
      <c r="AY576" s="185">
        <f t="shared" si="72"/>
        <v>0</v>
      </c>
      <c r="AZ576"/>
      <c r="BA576" s="44" t="str">
        <f t="shared" ca="1" si="70"/>
        <v>VariantAllowances</v>
      </c>
      <c r="BB576" s="44" t="str">
        <f t="shared" si="68"/>
        <v>TO variant allowances</v>
      </c>
      <c r="BC576" s="44" t="str">
        <f t="shared" si="69"/>
        <v>Variant allowances allocation to totex categories</v>
      </c>
    </row>
    <row r="577" spans="4:55">
      <c r="D577">
        <f t="shared" si="64"/>
        <v>0</v>
      </c>
      <c r="E577" s="212" t="str">
        <f t="shared" si="65"/>
        <v>Spare 2</v>
      </c>
      <c r="G577" s="43" t="str">
        <f t="shared" si="66"/>
        <v>£m 23/24 prices</v>
      </c>
      <c r="H577" s="43" t="str">
        <f t="shared" si="67"/>
        <v>Non-operational capex</v>
      </c>
      <c r="AU577" s="143">
        <f t="shared" si="72"/>
        <v>0</v>
      </c>
      <c r="AV577" s="54">
        <f t="shared" si="72"/>
        <v>0</v>
      </c>
      <c r="AW577" s="54">
        <f t="shared" si="72"/>
        <v>0</v>
      </c>
      <c r="AX577" s="54">
        <f t="shared" si="72"/>
        <v>0</v>
      </c>
      <c r="AY577" s="185">
        <f t="shared" si="72"/>
        <v>0</v>
      </c>
      <c r="AZ577"/>
      <c r="BA577" s="44" t="str">
        <f t="shared" ca="1" si="70"/>
        <v>VariantAllowances</v>
      </c>
      <c r="BB577" s="44" t="str">
        <f t="shared" si="68"/>
        <v>TO variant allowances</v>
      </c>
      <c r="BC577" s="44" t="str">
        <f t="shared" si="69"/>
        <v>Variant allowances allocation to totex categories</v>
      </c>
    </row>
    <row r="578" spans="4:55">
      <c r="D578">
        <f t="shared" si="64"/>
        <v>0</v>
      </c>
      <c r="E578" s="212" t="str">
        <f t="shared" si="65"/>
        <v>Spare 2</v>
      </c>
      <c r="G578" s="43" t="str">
        <f t="shared" si="66"/>
        <v>£m 23/24 prices</v>
      </c>
      <c r="H578" s="43" t="str">
        <f t="shared" si="67"/>
        <v>Non-load (opex)</v>
      </c>
      <c r="AU578" s="143">
        <f t="shared" ref="AU578:AY587" si="73">INDEX(AU$8:AU$50,MATCH($E578,$E$8:$E$50,0))*AU318</f>
        <v>0</v>
      </c>
      <c r="AV578" s="54">
        <f t="shared" si="73"/>
        <v>0</v>
      </c>
      <c r="AW578" s="54">
        <f t="shared" si="73"/>
        <v>0</v>
      </c>
      <c r="AX578" s="54">
        <f t="shared" si="73"/>
        <v>0</v>
      </c>
      <c r="AY578" s="185">
        <f t="shared" si="73"/>
        <v>0</v>
      </c>
      <c r="AZ578"/>
      <c r="BA578" s="44" t="str">
        <f t="shared" ca="1" si="70"/>
        <v>VariantAllowances</v>
      </c>
      <c r="BB578" s="44" t="str">
        <f t="shared" si="68"/>
        <v>TO variant allowances</v>
      </c>
      <c r="BC578" s="44" t="str">
        <f t="shared" si="69"/>
        <v>Variant allowances allocation to totex categories</v>
      </c>
    </row>
    <row r="579" spans="4:55">
      <c r="D579">
        <f t="shared" si="64"/>
        <v>0</v>
      </c>
      <c r="E579" s="201" t="str">
        <f t="shared" si="65"/>
        <v>Spare 2</v>
      </c>
      <c r="F579" s="225"/>
      <c r="G579" s="202" t="str">
        <f t="shared" si="66"/>
        <v>£m 23/24 prices</v>
      </c>
      <c r="H579" s="202" t="str">
        <f t="shared" si="67"/>
        <v>Indirects (opex)</v>
      </c>
      <c r="I579" s="202"/>
      <c r="J579" s="202"/>
      <c r="K579" s="202"/>
      <c r="L579" s="202"/>
      <c r="M579" s="202"/>
      <c r="N579" s="202"/>
      <c r="O579" s="202"/>
      <c r="P579" s="202"/>
      <c r="Q579" s="202"/>
      <c r="R579" s="202"/>
      <c r="S579" s="202"/>
      <c r="T579" s="202"/>
      <c r="U579" s="202"/>
      <c r="V579" s="202"/>
      <c r="W579" s="202"/>
      <c r="X579" s="202"/>
      <c r="Y579" s="202"/>
      <c r="Z579" s="202"/>
      <c r="AA579" s="202"/>
      <c r="AB579" s="202"/>
      <c r="AC579" s="202"/>
      <c r="AD579" s="202"/>
      <c r="AE579" s="202"/>
      <c r="AF579" s="202"/>
      <c r="AG579" s="202"/>
      <c r="AH579" s="202"/>
      <c r="AI579" s="202"/>
      <c r="AJ579" s="202"/>
      <c r="AK579" s="202"/>
      <c r="AL579" s="202"/>
      <c r="AM579" s="202"/>
      <c r="AN579" s="202"/>
      <c r="AO579" s="202"/>
      <c r="AP579" s="202"/>
      <c r="AQ579" s="202"/>
      <c r="AR579" s="202"/>
      <c r="AS579" s="202"/>
      <c r="AT579" s="203"/>
      <c r="AU579" s="232">
        <f t="shared" si="73"/>
        <v>0</v>
      </c>
      <c r="AV579" s="233">
        <f t="shared" si="73"/>
        <v>0</v>
      </c>
      <c r="AW579" s="233">
        <f t="shared" si="73"/>
        <v>0</v>
      </c>
      <c r="AX579" s="233">
        <f t="shared" si="73"/>
        <v>0</v>
      </c>
      <c r="AY579" s="234">
        <f t="shared" si="73"/>
        <v>0</v>
      </c>
      <c r="AZ579"/>
      <c r="BA579" s="44" t="str">
        <f t="shared" ca="1" si="70"/>
        <v>VariantAllowances</v>
      </c>
      <c r="BB579" s="44" t="str">
        <f t="shared" si="68"/>
        <v>TO variant allowances</v>
      </c>
      <c r="BC579" s="44" t="str">
        <f t="shared" si="69"/>
        <v>Variant allowances allocation to totex categories</v>
      </c>
    </row>
    <row r="580" spans="4:55">
      <c r="D580">
        <f t="shared" si="64"/>
        <v>0</v>
      </c>
      <c r="E580" s="195" t="str">
        <f t="shared" si="65"/>
        <v>Spare 3</v>
      </c>
      <c r="F580" s="221"/>
      <c r="G580" s="196" t="str">
        <f t="shared" si="66"/>
        <v>£m 23/24 prices</v>
      </c>
      <c r="H580" s="196" t="str">
        <f t="shared" si="67"/>
        <v>Load related capex</v>
      </c>
      <c r="I580" s="196"/>
      <c r="J580" s="196"/>
      <c r="K580" s="196"/>
      <c r="L580" s="196"/>
      <c r="M580" s="196"/>
      <c r="N580" s="196"/>
      <c r="O580" s="196"/>
      <c r="P580" s="196"/>
      <c r="Q580" s="196"/>
      <c r="R580" s="196"/>
      <c r="S580" s="196"/>
      <c r="T580" s="196"/>
      <c r="U580" s="196"/>
      <c r="V580" s="196"/>
      <c r="W580" s="196"/>
      <c r="X580" s="196"/>
      <c r="Y580" s="196"/>
      <c r="Z580" s="196"/>
      <c r="AA580" s="196"/>
      <c r="AB580" s="196"/>
      <c r="AC580" s="196"/>
      <c r="AD580" s="196"/>
      <c r="AE580" s="196"/>
      <c r="AF580" s="196"/>
      <c r="AG580" s="196"/>
      <c r="AH580" s="196"/>
      <c r="AI580" s="196"/>
      <c r="AJ580" s="196"/>
      <c r="AK580" s="196"/>
      <c r="AL580" s="196"/>
      <c r="AM580" s="196"/>
      <c r="AN580" s="196"/>
      <c r="AO580" s="196"/>
      <c r="AP580" s="196"/>
      <c r="AQ580" s="196"/>
      <c r="AR580" s="196"/>
      <c r="AS580" s="196"/>
      <c r="AT580" s="197"/>
      <c r="AU580" s="229">
        <f t="shared" si="73"/>
        <v>0</v>
      </c>
      <c r="AV580" s="230">
        <f t="shared" si="73"/>
        <v>0</v>
      </c>
      <c r="AW580" s="230">
        <f t="shared" si="73"/>
        <v>0</v>
      </c>
      <c r="AX580" s="230">
        <f t="shared" si="73"/>
        <v>0</v>
      </c>
      <c r="AY580" s="231">
        <f t="shared" si="73"/>
        <v>0</v>
      </c>
      <c r="AZ580"/>
      <c r="BA580" s="44" t="str">
        <f t="shared" ca="1" si="70"/>
        <v>VariantAllowances</v>
      </c>
      <c r="BB580" s="44" t="str">
        <f t="shared" si="68"/>
        <v>TO variant allowances</v>
      </c>
      <c r="BC580" s="44" t="str">
        <f t="shared" si="69"/>
        <v>Variant allowances allocation to totex categories</v>
      </c>
    </row>
    <row r="581" spans="4:55">
      <c r="D581">
        <f t="shared" si="64"/>
        <v>0</v>
      </c>
      <c r="E581" s="212" t="str">
        <f t="shared" si="65"/>
        <v>Spare 3</v>
      </c>
      <c r="G581" s="43" t="str">
        <f t="shared" si="66"/>
        <v>£m 23/24 prices</v>
      </c>
      <c r="H581" s="43" t="str">
        <f t="shared" si="67"/>
        <v>Asset replacement capex</v>
      </c>
      <c r="AU581" s="143">
        <f t="shared" si="73"/>
        <v>0</v>
      </c>
      <c r="AV581" s="54">
        <f t="shared" si="73"/>
        <v>0</v>
      </c>
      <c r="AW581" s="54">
        <f t="shared" si="73"/>
        <v>0</v>
      </c>
      <c r="AX581" s="54">
        <f t="shared" si="73"/>
        <v>0</v>
      </c>
      <c r="AY581" s="185">
        <f t="shared" si="73"/>
        <v>0</v>
      </c>
      <c r="AZ581"/>
      <c r="BA581" s="44" t="str">
        <f t="shared" ca="1" si="70"/>
        <v>VariantAllowances</v>
      </c>
      <c r="BB581" s="44" t="str">
        <f t="shared" si="68"/>
        <v>TO variant allowances</v>
      </c>
      <c r="BC581" s="44" t="str">
        <f t="shared" si="69"/>
        <v>Variant allowances allocation to totex categories</v>
      </c>
    </row>
    <row r="582" spans="4:55">
      <c r="D582">
        <f t="shared" si="64"/>
        <v>0</v>
      </c>
      <c r="E582" s="212" t="str">
        <f t="shared" si="65"/>
        <v>Spare 3</v>
      </c>
      <c r="G582" s="43" t="str">
        <f t="shared" si="66"/>
        <v>£m 23/24 prices</v>
      </c>
      <c r="H582" s="43" t="str">
        <f t="shared" si="67"/>
        <v>Other capex</v>
      </c>
      <c r="AU582" s="143">
        <f t="shared" si="73"/>
        <v>0</v>
      </c>
      <c r="AV582" s="54">
        <f t="shared" si="73"/>
        <v>0</v>
      </c>
      <c r="AW582" s="54">
        <f t="shared" si="73"/>
        <v>0</v>
      </c>
      <c r="AX582" s="54">
        <f t="shared" si="73"/>
        <v>0</v>
      </c>
      <c r="AY582" s="185">
        <f t="shared" si="73"/>
        <v>0</v>
      </c>
      <c r="AZ582"/>
      <c r="BA582" s="44" t="str">
        <f t="shared" ca="1" si="70"/>
        <v>VariantAllowances</v>
      </c>
      <c r="BB582" s="44" t="str">
        <f t="shared" si="68"/>
        <v>TO variant allowances</v>
      </c>
      <c r="BC582" s="44" t="str">
        <f t="shared" si="69"/>
        <v>Variant allowances allocation to totex categories</v>
      </c>
    </row>
    <row r="583" spans="4:55">
      <c r="D583">
        <f t="shared" si="64"/>
        <v>0</v>
      </c>
      <c r="E583" s="212" t="str">
        <f t="shared" si="65"/>
        <v>Spare 3</v>
      </c>
      <c r="G583" s="43" t="str">
        <f t="shared" si="66"/>
        <v>£m 23/24 prices</v>
      </c>
      <c r="H583" s="43" t="str">
        <f t="shared" si="67"/>
        <v>Non-operational capex</v>
      </c>
      <c r="AU583" s="143">
        <f t="shared" si="73"/>
        <v>0</v>
      </c>
      <c r="AV583" s="54">
        <f t="shared" si="73"/>
        <v>0</v>
      </c>
      <c r="AW583" s="54">
        <f t="shared" si="73"/>
        <v>0</v>
      </c>
      <c r="AX583" s="54">
        <f t="shared" si="73"/>
        <v>0</v>
      </c>
      <c r="AY583" s="185">
        <f t="shared" si="73"/>
        <v>0</v>
      </c>
      <c r="AZ583"/>
      <c r="BA583" s="44" t="str">
        <f t="shared" ca="1" si="70"/>
        <v>VariantAllowances</v>
      </c>
      <c r="BB583" s="44" t="str">
        <f t="shared" si="68"/>
        <v>TO variant allowances</v>
      </c>
      <c r="BC583" s="44" t="str">
        <f t="shared" si="69"/>
        <v>Variant allowances allocation to totex categories</v>
      </c>
    </row>
    <row r="584" spans="4:55">
      <c r="D584">
        <f t="shared" si="64"/>
        <v>0</v>
      </c>
      <c r="E584" s="212" t="str">
        <f t="shared" si="65"/>
        <v>Spare 3</v>
      </c>
      <c r="G584" s="43" t="str">
        <f t="shared" si="66"/>
        <v>£m 23/24 prices</v>
      </c>
      <c r="H584" s="43" t="str">
        <f t="shared" si="67"/>
        <v>Non-load (opex)</v>
      </c>
      <c r="AU584" s="143">
        <f t="shared" si="73"/>
        <v>0</v>
      </c>
      <c r="AV584" s="54">
        <f t="shared" si="73"/>
        <v>0</v>
      </c>
      <c r="AW584" s="54">
        <f t="shared" si="73"/>
        <v>0</v>
      </c>
      <c r="AX584" s="54">
        <f t="shared" si="73"/>
        <v>0</v>
      </c>
      <c r="AY584" s="185">
        <f t="shared" si="73"/>
        <v>0</v>
      </c>
      <c r="AZ584"/>
      <c r="BA584" s="44" t="str">
        <f t="shared" ca="1" si="70"/>
        <v>VariantAllowances</v>
      </c>
      <c r="BB584" s="44" t="str">
        <f t="shared" si="68"/>
        <v>TO variant allowances</v>
      </c>
      <c r="BC584" s="44" t="str">
        <f t="shared" si="69"/>
        <v>Variant allowances allocation to totex categories</v>
      </c>
    </row>
    <row r="585" spans="4:55">
      <c r="D585">
        <f t="shared" si="64"/>
        <v>0</v>
      </c>
      <c r="E585" s="201" t="str">
        <f t="shared" si="65"/>
        <v>Spare 3</v>
      </c>
      <c r="F585" s="225"/>
      <c r="G585" s="202" t="str">
        <f t="shared" si="66"/>
        <v>£m 23/24 prices</v>
      </c>
      <c r="H585" s="202" t="str">
        <f t="shared" si="67"/>
        <v>Indirects (opex)</v>
      </c>
      <c r="I585" s="202"/>
      <c r="J585" s="202"/>
      <c r="K585" s="202"/>
      <c r="L585" s="202"/>
      <c r="M585" s="202"/>
      <c r="N585" s="202"/>
      <c r="O585" s="202"/>
      <c r="P585" s="202"/>
      <c r="Q585" s="202"/>
      <c r="R585" s="202"/>
      <c r="S585" s="202"/>
      <c r="T585" s="202"/>
      <c r="U585" s="202"/>
      <c r="V585" s="202"/>
      <c r="W585" s="202"/>
      <c r="X585" s="202"/>
      <c r="Y585" s="202"/>
      <c r="Z585" s="202"/>
      <c r="AA585" s="202"/>
      <c r="AB585" s="202"/>
      <c r="AC585" s="202"/>
      <c r="AD585" s="202"/>
      <c r="AE585" s="202"/>
      <c r="AF585" s="202"/>
      <c r="AG585" s="202"/>
      <c r="AH585" s="202"/>
      <c r="AI585" s="202"/>
      <c r="AJ585" s="202"/>
      <c r="AK585" s="202"/>
      <c r="AL585" s="202"/>
      <c r="AM585" s="202"/>
      <c r="AN585" s="202"/>
      <c r="AO585" s="202"/>
      <c r="AP585" s="202"/>
      <c r="AQ585" s="202"/>
      <c r="AR585" s="202"/>
      <c r="AS585" s="202"/>
      <c r="AT585" s="203"/>
      <c r="AU585" s="232">
        <f t="shared" si="73"/>
        <v>0</v>
      </c>
      <c r="AV585" s="233">
        <f t="shared" si="73"/>
        <v>0</v>
      </c>
      <c r="AW585" s="233">
        <f t="shared" si="73"/>
        <v>0</v>
      </c>
      <c r="AX585" s="233">
        <f t="shared" si="73"/>
        <v>0</v>
      </c>
      <c r="AY585" s="234">
        <f t="shared" si="73"/>
        <v>0</v>
      </c>
      <c r="AZ585"/>
      <c r="BA585" s="44" t="str">
        <f t="shared" ca="1" si="70"/>
        <v>VariantAllowances</v>
      </c>
      <c r="BB585" s="44" t="str">
        <f t="shared" si="68"/>
        <v>TO variant allowances</v>
      </c>
      <c r="BC585" s="44" t="str">
        <f t="shared" si="69"/>
        <v>Variant allowances allocation to totex categories</v>
      </c>
    </row>
    <row r="586" spans="4:55">
      <c r="D586">
        <f t="shared" si="64"/>
        <v>0</v>
      </c>
      <c r="E586" s="195" t="str">
        <f t="shared" si="65"/>
        <v>Spare 4</v>
      </c>
      <c r="F586" s="221"/>
      <c r="G586" s="196" t="str">
        <f t="shared" si="66"/>
        <v>£m 23/24 prices</v>
      </c>
      <c r="H586" s="196" t="str">
        <f t="shared" si="67"/>
        <v>Load related capex</v>
      </c>
      <c r="I586" s="196"/>
      <c r="J586" s="196"/>
      <c r="K586" s="196"/>
      <c r="L586" s="196"/>
      <c r="M586" s="196"/>
      <c r="N586" s="196"/>
      <c r="O586" s="196"/>
      <c r="P586" s="196"/>
      <c r="Q586" s="196"/>
      <c r="R586" s="196"/>
      <c r="S586" s="196"/>
      <c r="T586" s="196"/>
      <c r="U586" s="196"/>
      <c r="V586" s="196"/>
      <c r="W586" s="196"/>
      <c r="X586" s="196"/>
      <c r="Y586" s="196"/>
      <c r="Z586" s="196"/>
      <c r="AA586" s="196"/>
      <c r="AB586" s="196"/>
      <c r="AC586" s="196"/>
      <c r="AD586" s="196"/>
      <c r="AE586" s="196"/>
      <c r="AF586" s="196"/>
      <c r="AG586" s="196"/>
      <c r="AH586" s="196"/>
      <c r="AI586" s="196"/>
      <c r="AJ586" s="196"/>
      <c r="AK586" s="196"/>
      <c r="AL586" s="196"/>
      <c r="AM586" s="196"/>
      <c r="AN586" s="196"/>
      <c r="AO586" s="196"/>
      <c r="AP586" s="196"/>
      <c r="AQ586" s="196"/>
      <c r="AR586" s="196"/>
      <c r="AS586" s="196"/>
      <c r="AT586" s="197"/>
      <c r="AU586" s="229">
        <f t="shared" si="73"/>
        <v>0</v>
      </c>
      <c r="AV586" s="230">
        <f t="shared" si="73"/>
        <v>0</v>
      </c>
      <c r="AW586" s="230">
        <f t="shared" si="73"/>
        <v>0</v>
      </c>
      <c r="AX586" s="230">
        <f t="shared" si="73"/>
        <v>0</v>
      </c>
      <c r="AY586" s="231">
        <f t="shared" si="73"/>
        <v>0</v>
      </c>
      <c r="AZ586"/>
      <c r="BA586" s="44" t="str">
        <f t="shared" ca="1" si="70"/>
        <v>VariantAllowances</v>
      </c>
      <c r="BB586" s="44" t="str">
        <f t="shared" si="68"/>
        <v>TO variant allowances</v>
      </c>
      <c r="BC586" s="44" t="str">
        <f t="shared" si="69"/>
        <v>Variant allowances allocation to totex categories</v>
      </c>
    </row>
    <row r="587" spans="4:55">
      <c r="D587">
        <f t="shared" si="64"/>
        <v>0</v>
      </c>
      <c r="E587" s="212" t="str">
        <f t="shared" si="65"/>
        <v>Spare 4</v>
      </c>
      <c r="G587" s="43" t="str">
        <f t="shared" si="66"/>
        <v>£m 23/24 prices</v>
      </c>
      <c r="H587" s="43" t="str">
        <f t="shared" si="67"/>
        <v>Asset replacement capex</v>
      </c>
      <c r="AU587" s="143">
        <f t="shared" si="73"/>
        <v>0</v>
      </c>
      <c r="AV587" s="54">
        <f t="shared" si="73"/>
        <v>0</v>
      </c>
      <c r="AW587" s="54">
        <f t="shared" si="73"/>
        <v>0</v>
      </c>
      <c r="AX587" s="54">
        <f t="shared" si="73"/>
        <v>0</v>
      </c>
      <c r="AY587" s="185">
        <f t="shared" si="73"/>
        <v>0</v>
      </c>
      <c r="AZ587"/>
      <c r="BA587" s="44" t="str">
        <f t="shared" ca="1" si="70"/>
        <v>VariantAllowances</v>
      </c>
      <c r="BB587" s="44" t="str">
        <f t="shared" si="68"/>
        <v>TO variant allowances</v>
      </c>
      <c r="BC587" s="44" t="str">
        <f t="shared" si="69"/>
        <v>Variant allowances allocation to totex categories</v>
      </c>
    </row>
    <row r="588" spans="4:55">
      <c r="D588">
        <f t="shared" si="64"/>
        <v>0</v>
      </c>
      <c r="E588" s="212" t="str">
        <f t="shared" si="65"/>
        <v>Spare 4</v>
      </c>
      <c r="G588" s="43" t="str">
        <f t="shared" si="66"/>
        <v>£m 23/24 prices</v>
      </c>
      <c r="H588" s="43" t="str">
        <f t="shared" si="67"/>
        <v>Other capex</v>
      </c>
      <c r="AU588" s="143">
        <f t="shared" ref="AU588:AY597" si="74">INDEX(AU$8:AU$50,MATCH($E588,$E$8:$E$50,0))*AU328</f>
        <v>0</v>
      </c>
      <c r="AV588" s="54">
        <f t="shared" si="74"/>
        <v>0</v>
      </c>
      <c r="AW588" s="54">
        <f t="shared" si="74"/>
        <v>0</v>
      </c>
      <c r="AX588" s="54">
        <f t="shared" si="74"/>
        <v>0</v>
      </c>
      <c r="AY588" s="185">
        <f t="shared" si="74"/>
        <v>0</v>
      </c>
      <c r="AZ588"/>
      <c r="BA588" s="44" t="str">
        <f t="shared" ca="1" si="70"/>
        <v>VariantAllowances</v>
      </c>
      <c r="BB588" s="44" t="str">
        <f t="shared" si="68"/>
        <v>TO variant allowances</v>
      </c>
      <c r="BC588" s="44" t="str">
        <f t="shared" si="69"/>
        <v>Variant allowances allocation to totex categories</v>
      </c>
    </row>
    <row r="589" spans="4:55">
      <c r="D589">
        <f t="shared" si="64"/>
        <v>0</v>
      </c>
      <c r="E589" s="212" t="str">
        <f t="shared" si="65"/>
        <v>Spare 4</v>
      </c>
      <c r="G589" s="43" t="str">
        <f t="shared" si="66"/>
        <v>£m 23/24 prices</v>
      </c>
      <c r="H589" s="43" t="str">
        <f t="shared" si="67"/>
        <v>Non-operational capex</v>
      </c>
      <c r="AU589" s="143">
        <f t="shared" si="74"/>
        <v>0</v>
      </c>
      <c r="AV589" s="54">
        <f t="shared" si="74"/>
        <v>0</v>
      </c>
      <c r="AW589" s="54">
        <f t="shared" si="74"/>
        <v>0</v>
      </c>
      <c r="AX589" s="54">
        <f t="shared" si="74"/>
        <v>0</v>
      </c>
      <c r="AY589" s="185">
        <f t="shared" si="74"/>
        <v>0</v>
      </c>
      <c r="AZ589"/>
      <c r="BA589" s="44" t="str">
        <f t="shared" ca="1" si="70"/>
        <v>VariantAllowances</v>
      </c>
      <c r="BB589" s="44" t="str">
        <f t="shared" si="68"/>
        <v>TO variant allowances</v>
      </c>
      <c r="BC589" s="44" t="str">
        <f t="shared" si="69"/>
        <v>Variant allowances allocation to totex categories</v>
      </c>
    </row>
    <row r="590" spans="4:55">
      <c r="D590">
        <f t="shared" si="64"/>
        <v>0</v>
      </c>
      <c r="E590" s="212" t="str">
        <f t="shared" si="65"/>
        <v>Spare 4</v>
      </c>
      <c r="G590" s="43" t="str">
        <f t="shared" si="66"/>
        <v>£m 23/24 prices</v>
      </c>
      <c r="H590" s="43" t="str">
        <f t="shared" si="67"/>
        <v>Non-load (opex)</v>
      </c>
      <c r="AU590" s="143">
        <f t="shared" si="74"/>
        <v>0</v>
      </c>
      <c r="AV590" s="54">
        <f t="shared" si="74"/>
        <v>0</v>
      </c>
      <c r="AW590" s="54">
        <f t="shared" si="74"/>
        <v>0</v>
      </c>
      <c r="AX590" s="54">
        <f t="shared" si="74"/>
        <v>0</v>
      </c>
      <c r="AY590" s="185">
        <f t="shared" si="74"/>
        <v>0</v>
      </c>
      <c r="AZ590"/>
      <c r="BA590" s="44" t="str">
        <f t="shared" ca="1" si="70"/>
        <v>VariantAllowances</v>
      </c>
      <c r="BB590" s="44" t="str">
        <f t="shared" si="68"/>
        <v>TO variant allowances</v>
      </c>
      <c r="BC590" s="44" t="str">
        <f t="shared" si="69"/>
        <v>Variant allowances allocation to totex categories</v>
      </c>
    </row>
    <row r="591" spans="4:55">
      <c r="D591">
        <f t="shared" si="64"/>
        <v>0</v>
      </c>
      <c r="E591" s="201" t="str">
        <f t="shared" si="65"/>
        <v>Spare 4</v>
      </c>
      <c r="F591" s="225"/>
      <c r="G591" s="202" t="str">
        <f t="shared" si="66"/>
        <v>£m 23/24 prices</v>
      </c>
      <c r="H591" s="202" t="str">
        <f t="shared" si="67"/>
        <v>Indirects (opex)</v>
      </c>
      <c r="I591" s="202"/>
      <c r="J591" s="202"/>
      <c r="K591" s="202"/>
      <c r="L591" s="202"/>
      <c r="M591" s="202"/>
      <c r="N591" s="202"/>
      <c r="O591" s="202"/>
      <c r="P591" s="202"/>
      <c r="Q591" s="202"/>
      <c r="R591" s="202"/>
      <c r="S591" s="202"/>
      <c r="T591" s="202"/>
      <c r="U591" s="202"/>
      <c r="V591" s="202"/>
      <c r="W591" s="202"/>
      <c r="X591" s="202"/>
      <c r="Y591" s="202"/>
      <c r="Z591" s="202"/>
      <c r="AA591" s="202"/>
      <c r="AB591" s="202"/>
      <c r="AC591" s="202"/>
      <c r="AD591" s="202"/>
      <c r="AE591" s="202"/>
      <c r="AF591" s="202"/>
      <c r="AG591" s="202"/>
      <c r="AH591" s="202"/>
      <c r="AI591" s="202"/>
      <c r="AJ591" s="202"/>
      <c r="AK591" s="202"/>
      <c r="AL591" s="202"/>
      <c r="AM591" s="202"/>
      <c r="AN591" s="202"/>
      <c r="AO591" s="202"/>
      <c r="AP591" s="202"/>
      <c r="AQ591" s="202"/>
      <c r="AR591" s="202"/>
      <c r="AS591" s="202"/>
      <c r="AT591" s="203"/>
      <c r="AU591" s="232">
        <f t="shared" si="74"/>
        <v>0</v>
      </c>
      <c r="AV591" s="233">
        <f t="shared" si="74"/>
        <v>0</v>
      </c>
      <c r="AW591" s="233">
        <f t="shared" si="74"/>
        <v>0</v>
      </c>
      <c r="AX591" s="233">
        <f t="shared" si="74"/>
        <v>0</v>
      </c>
      <c r="AY591" s="234">
        <f t="shared" si="74"/>
        <v>0</v>
      </c>
      <c r="AZ591"/>
      <c r="BA591" s="44" t="str">
        <f t="shared" ca="1" si="70"/>
        <v>VariantAllowances</v>
      </c>
      <c r="BB591" s="44" t="str">
        <f t="shared" si="68"/>
        <v>TO variant allowances</v>
      </c>
      <c r="BC591" s="44" t="str">
        <f t="shared" si="69"/>
        <v>Variant allowances allocation to totex categories</v>
      </c>
    </row>
    <row r="592" spans="4:55">
      <c r="D592">
        <f t="shared" si="64"/>
        <v>0</v>
      </c>
      <c r="E592" s="195" t="str">
        <f t="shared" si="65"/>
        <v>Spare 5</v>
      </c>
      <c r="F592" s="221"/>
      <c r="G592" s="196" t="str">
        <f t="shared" si="66"/>
        <v>£m 23/24 prices</v>
      </c>
      <c r="H592" s="196" t="str">
        <f t="shared" si="67"/>
        <v>Load related capex</v>
      </c>
      <c r="I592" s="196"/>
      <c r="J592" s="196"/>
      <c r="K592" s="196"/>
      <c r="L592" s="196"/>
      <c r="M592" s="196"/>
      <c r="N592" s="196"/>
      <c r="O592" s="196"/>
      <c r="P592" s="196"/>
      <c r="Q592" s="196"/>
      <c r="R592" s="196"/>
      <c r="S592" s="196"/>
      <c r="T592" s="196"/>
      <c r="U592" s="196"/>
      <c r="V592" s="196"/>
      <c r="W592" s="196"/>
      <c r="X592" s="196"/>
      <c r="Y592" s="196"/>
      <c r="Z592" s="196"/>
      <c r="AA592" s="196"/>
      <c r="AB592" s="196"/>
      <c r="AC592" s="196"/>
      <c r="AD592" s="196"/>
      <c r="AE592" s="196"/>
      <c r="AF592" s="196"/>
      <c r="AG592" s="196"/>
      <c r="AH592" s="196"/>
      <c r="AI592" s="196"/>
      <c r="AJ592" s="196"/>
      <c r="AK592" s="196"/>
      <c r="AL592" s="196"/>
      <c r="AM592" s="196"/>
      <c r="AN592" s="196"/>
      <c r="AO592" s="196"/>
      <c r="AP592" s="196"/>
      <c r="AQ592" s="196"/>
      <c r="AR592" s="196"/>
      <c r="AS592" s="196"/>
      <c r="AT592" s="197"/>
      <c r="AU592" s="229">
        <f t="shared" si="74"/>
        <v>0</v>
      </c>
      <c r="AV592" s="230">
        <f t="shared" si="74"/>
        <v>0</v>
      </c>
      <c r="AW592" s="230">
        <f t="shared" si="74"/>
        <v>0</v>
      </c>
      <c r="AX592" s="230">
        <f t="shared" si="74"/>
        <v>0</v>
      </c>
      <c r="AY592" s="231">
        <f t="shared" si="74"/>
        <v>0</v>
      </c>
      <c r="AZ592"/>
      <c r="BA592" s="44" t="str">
        <f t="shared" ca="1" si="70"/>
        <v>VariantAllowances</v>
      </c>
      <c r="BB592" s="44" t="str">
        <f t="shared" si="68"/>
        <v>TO variant allowances</v>
      </c>
      <c r="BC592" s="44" t="str">
        <f t="shared" si="69"/>
        <v>Variant allowances allocation to totex categories</v>
      </c>
    </row>
    <row r="593" spans="4:55">
      <c r="D593">
        <f t="shared" si="64"/>
        <v>0</v>
      </c>
      <c r="E593" s="212" t="str">
        <f t="shared" si="65"/>
        <v>Spare 5</v>
      </c>
      <c r="G593" s="43" t="str">
        <f t="shared" si="66"/>
        <v>£m 23/24 prices</v>
      </c>
      <c r="H593" s="43" t="str">
        <f t="shared" si="67"/>
        <v>Asset replacement capex</v>
      </c>
      <c r="AU593" s="143">
        <f t="shared" si="74"/>
        <v>0</v>
      </c>
      <c r="AV593" s="54">
        <f t="shared" si="74"/>
        <v>0</v>
      </c>
      <c r="AW593" s="54">
        <f t="shared" si="74"/>
        <v>0</v>
      </c>
      <c r="AX593" s="54">
        <f t="shared" si="74"/>
        <v>0</v>
      </c>
      <c r="AY593" s="185">
        <f t="shared" si="74"/>
        <v>0</v>
      </c>
      <c r="AZ593"/>
      <c r="BA593" s="44" t="str">
        <f t="shared" ca="1" si="70"/>
        <v>VariantAllowances</v>
      </c>
      <c r="BB593" s="44" t="str">
        <f t="shared" si="68"/>
        <v>TO variant allowances</v>
      </c>
      <c r="BC593" s="44" t="str">
        <f t="shared" si="69"/>
        <v>Variant allowances allocation to totex categories</v>
      </c>
    </row>
    <row r="594" spans="4:55">
      <c r="D594">
        <f t="shared" si="64"/>
        <v>0</v>
      </c>
      <c r="E594" s="212" t="str">
        <f t="shared" si="65"/>
        <v>Spare 5</v>
      </c>
      <c r="G594" s="43" t="str">
        <f t="shared" si="66"/>
        <v>£m 23/24 prices</v>
      </c>
      <c r="H594" s="43" t="str">
        <f t="shared" si="67"/>
        <v>Other capex</v>
      </c>
      <c r="AU594" s="143">
        <f t="shared" si="74"/>
        <v>0</v>
      </c>
      <c r="AV594" s="54">
        <f t="shared" si="74"/>
        <v>0</v>
      </c>
      <c r="AW594" s="54">
        <f t="shared" si="74"/>
        <v>0</v>
      </c>
      <c r="AX594" s="54">
        <f t="shared" si="74"/>
        <v>0</v>
      </c>
      <c r="AY594" s="185">
        <f t="shared" si="74"/>
        <v>0</v>
      </c>
      <c r="AZ594"/>
      <c r="BA594" s="44" t="str">
        <f t="shared" ca="1" si="70"/>
        <v>VariantAllowances</v>
      </c>
      <c r="BB594" s="44" t="str">
        <f t="shared" si="68"/>
        <v>TO variant allowances</v>
      </c>
      <c r="BC594" s="44" t="str">
        <f t="shared" si="69"/>
        <v>Variant allowances allocation to totex categories</v>
      </c>
    </row>
    <row r="595" spans="4:55">
      <c r="D595">
        <f t="shared" si="64"/>
        <v>0</v>
      </c>
      <c r="E595" s="212" t="str">
        <f t="shared" si="65"/>
        <v>Spare 5</v>
      </c>
      <c r="G595" s="43" t="str">
        <f t="shared" si="66"/>
        <v>£m 23/24 prices</v>
      </c>
      <c r="H595" s="43" t="str">
        <f t="shared" si="67"/>
        <v>Non-operational capex</v>
      </c>
      <c r="AU595" s="143">
        <f t="shared" si="74"/>
        <v>0</v>
      </c>
      <c r="AV595" s="54">
        <f t="shared" si="74"/>
        <v>0</v>
      </c>
      <c r="AW595" s="54">
        <f t="shared" si="74"/>
        <v>0</v>
      </c>
      <c r="AX595" s="54">
        <f t="shared" si="74"/>
        <v>0</v>
      </c>
      <c r="AY595" s="185">
        <f t="shared" si="74"/>
        <v>0</v>
      </c>
      <c r="AZ595"/>
      <c r="BA595" s="44" t="str">
        <f t="shared" ca="1" si="70"/>
        <v>VariantAllowances</v>
      </c>
      <c r="BB595" s="44" t="str">
        <f t="shared" si="68"/>
        <v>TO variant allowances</v>
      </c>
      <c r="BC595" s="44" t="str">
        <f t="shared" si="69"/>
        <v>Variant allowances allocation to totex categories</v>
      </c>
    </row>
    <row r="596" spans="4:55">
      <c r="D596">
        <f t="shared" si="64"/>
        <v>0</v>
      </c>
      <c r="E596" s="212" t="str">
        <f t="shared" si="65"/>
        <v>Spare 5</v>
      </c>
      <c r="G596" s="43" t="str">
        <f t="shared" si="66"/>
        <v>£m 23/24 prices</v>
      </c>
      <c r="H596" s="43" t="str">
        <f t="shared" si="67"/>
        <v>Non-load (opex)</v>
      </c>
      <c r="AU596" s="143">
        <f t="shared" si="74"/>
        <v>0</v>
      </c>
      <c r="AV596" s="54">
        <f t="shared" si="74"/>
        <v>0</v>
      </c>
      <c r="AW596" s="54">
        <f t="shared" si="74"/>
        <v>0</v>
      </c>
      <c r="AX596" s="54">
        <f t="shared" si="74"/>
        <v>0</v>
      </c>
      <c r="AY596" s="185">
        <f t="shared" si="74"/>
        <v>0</v>
      </c>
      <c r="AZ596"/>
      <c r="BA596" s="44" t="str">
        <f t="shared" ca="1" si="70"/>
        <v>VariantAllowances</v>
      </c>
      <c r="BB596" s="44" t="str">
        <f t="shared" si="68"/>
        <v>TO variant allowances</v>
      </c>
      <c r="BC596" s="44" t="str">
        <f t="shared" si="69"/>
        <v>Variant allowances allocation to totex categories</v>
      </c>
    </row>
    <row r="597" spans="4:55">
      <c r="D597">
        <f t="shared" si="64"/>
        <v>0</v>
      </c>
      <c r="E597" s="201" t="str">
        <f t="shared" si="65"/>
        <v>Spare 5</v>
      </c>
      <c r="F597" s="225"/>
      <c r="G597" s="202" t="str">
        <f t="shared" si="66"/>
        <v>£m 23/24 prices</v>
      </c>
      <c r="H597" s="202" t="str">
        <f t="shared" si="67"/>
        <v>Indirects (opex)</v>
      </c>
      <c r="I597" s="202"/>
      <c r="J597" s="202"/>
      <c r="K597" s="202"/>
      <c r="L597" s="202"/>
      <c r="M597" s="202"/>
      <c r="N597" s="202"/>
      <c r="O597" s="202"/>
      <c r="P597" s="202"/>
      <c r="Q597" s="202"/>
      <c r="R597" s="202"/>
      <c r="S597" s="202"/>
      <c r="T597" s="202"/>
      <c r="U597" s="202"/>
      <c r="V597" s="202"/>
      <c r="W597" s="202"/>
      <c r="X597" s="202"/>
      <c r="Y597" s="202"/>
      <c r="Z597" s="202"/>
      <c r="AA597" s="202"/>
      <c r="AB597" s="202"/>
      <c r="AC597" s="202"/>
      <c r="AD597" s="202"/>
      <c r="AE597" s="202"/>
      <c r="AF597" s="202"/>
      <c r="AG597" s="202"/>
      <c r="AH597" s="202"/>
      <c r="AI597" s="202"/>
      <c r="AJ597" s="202"/>
      <c r="AK597" s="202"/>
      <c r="AL597" s="202"/>
      <c r="AM597" s="202"/>
      <c r="AN597" s="202"/>
      <c r="AO597" s="202"/>
      <c r="AP597" s="202"/>
      <c r="AQ597" s="202"/>
      <c r="AR597" s="202"/>
      <c r="AS597" s="202"/>
      <c r="AT597" s="203"/>
      <c r="AU597" s="232">
        <f t="shared" si="74"/>
        <v>0</v>
      </c>
      <c r="AV597" s="233">
        <f t="shared" si="74"/>
        <v>0</v>
      </c>
      <c r="AW597" s="233">
        <f t="shared" si="74"/>
        <v>0</v>
      </c>
      <c r="AX597" s="233">
        <f t="shared" si="74"/>
        <v>0</v>
      </c>
      <c r="AY597" s="234">
        <f t="shared" si="74"/>
        <v>0</v>
      </c>
      <c r="AZ597"/>
      <c r="BA597" s="44" t="str">
        <f t="shared" ca="1" si="70"/>
        <v>VariantAllowances</v>
      </c>
      <c r="BB597" s="44" t="str">
        <f t="shared" si="68"/>
        <v>TO variant allowances</v>
      </c>
      <c r="BC597" s="44" t="str">
        <f t="shared" si="69"/>
        <v>Variant allowances allocation to totex categories</v>
      </c>
    </row>
    <row r="598" spans="4:55">
      <c r="D598">
        <f t="shared" si="64"/>
        <v>0</v>
      </c>
      <c r="E598" s="195" t="str">
        <f t="shared" si="65"/>
        <v>Spare 6</v>
      </c>
      <c r="F598" s="221"/>
      <c r="G598" s="196" t="str">
        <f t="shared" si="66"/>
        <v>£m 23/24 prices</v>
      </c>
      <c r="H598" s="196" t="str">
        <f t="shared" si="67"/>
        <v>Load related capex</v>
      </c>
      <c r="I598" s="196"/>
      <c r="J598" s="196"/>
      <c r="K598" s="196"/>
      <c r="L598" s="196"/>
      <c r="M598" s="196"/>
      <c r="N598" s="196"/>
      <c r="O598" s="196"/>
      <c r="P598" s="196"/>
      <c r="Q598" s="196"/>
      <c r="R598" s="196"/>
      <c r="S598" s="196"/>
      <c r="T598" s="196"/>
      <c r="U598" s="196"/>
      <c r="V598" s="196"/>
      <c r="W598" s="196"/>
      <c r="X598" s="196"/>
      <c r="Y598" s="196"/>
      <c r="Z598" s="196"/>
      <c r="AA598" s="196"/>
      <c r="AB598" s="196"/>
      <c r="AC598" s="196"/>
      <c r="AD598" s="196"/>
      <c r="AE598" s="196"/>
      <c r="AF598" s="196"/>
      <c r="AG598" s="196"/>
      <c r="AH598" s="196"/>
      <c r="AI598" s="196"/>
      <c r="AJ598" s="196"/>
      <c r="AK598" s="196"/>
      <c r="AL598" s="196"/>
      <c r="AM598" s="196"/>
      <c r="AN598" s="196"/>
      <c r="AO598" s="196"/>
      <c r="AP598" s="196"/>
      <c r="AQ598" s="196"/>
      <c r="AR598" s="196"/>
      <c r="AS598" s="196"/>
      <c r="AT598" s="197"/>
      <c r="AU598" s="229">
        <f t="shared" ref="AU598:AY607" si="75">INDEX(AU$8:AU$50,MATCH($E598,$E$8:$E$50,0))*AU338</f>
        <v>0</v>
      </c>
      <c r="AV598" s="230">
        <f t="shared" si="75"/>
        <v>0</v>
      </c>
      <c r="AW598" s="230">
        <f t="shared" si="75"/>
        <v>0</v>
      </c>
      <c r="AX598" s="230">
        <f t="shared" si="75"/>
        <v>0</v>
      </c>
      <c r="AY598" s="231">
        <f t="shared" si="75"/>
        <v>0</v>
      </c>
      <c r="AZ598"/>
      <c r="BA598" s="44" t="str">
        <f t="shared" ca="1" si="70"/>
        <v>VariantAllowances</v>
      </c>
      <c r="BB598" s="44" t="str">
        <f t="shared" si="68"/>
        <v>TO variant allowances</v>
      </c>
      <c r="BC598" s="44" t="str">
        <f t="shared" si="69"/>
        <v>Variant allowances allocation to totex categories</v>
      </c>
    </row>
    <row r="599" spans="4:55">
      <c r="D599">
        <f t="shared" si="64"/>
        <v>0</v>
      </c>
      <c r="E599" s="212" t="str">
        <f t="shared" si="65"/>
        <v>Spare 6</v>
      </c>
      <c r="G599" s="43" t="str">
        <f t="shared" si="66"/>
        <v>£m 23/24 prices</v>
      </c>
      <c r="H599" s="43" t="str">
        <f t="shared" si="67"/>
        <v>Asset replacement capex</v>
      </c>
      <c r="AU599" s="143">
        <f t="shared" si="75"/>
        <v>0</v>
      </c>
      <c r="AV599" s="54">
        <f t="shared" si="75"/>
        <v>0</v>
      </c>
      <c r="AW599" s="54">
        <f t="shared" si="75"/>
        <v>0</v>
      </c>
      <c r="AX599" s="54">
        <f t="shared" si="75"/>
        <v>0</v>
      </c>
      <c r="AY599" s="185">
        <f t="shared" si="75"/>
        <v>0</v>
      </c>
      <c r="AZ599"/>
      <c r="BA599" s="44" t="str">
        <f t="shared" ca="1" si="70"/>
        <v>VariantAllowances</v>
      </c>
      <c r="BB599" s="44" t="str">
        <f t="shared" si="68"/>
        <v>TO variant allowances</v>
      </c>
      <c r="BC599" s="44" t="str">
        <f t="shared" si="69"/>
        <v>Variant allowances allocation to totex categories</v>
      </c>
    </row>
    <row r="600" spans="4:55">
      <c r="D600">
        <f t="shared" si="64"/>
        <v>0</v>
      </c>
      <c r="E600" s="212" t="str">
        <f t="shared" si="65"/>
        <v>Spare 6</v>
      </c>
      <c r="G600" s="43" t="str">
        <f t="shared" si="66"/>
        <v>£m 23/24 prices</v>
      </c>
      <c r="H600" s="43" t="str">
        <f t="shared" si="67"/>
        <v>Other capex</v>
      </c>
      <c r="AU600" s="143">
        <f t="shared" si="75"/>
        <v>0</v>
      </c>
      <c r="AV600" s="54">
        <f t="shared" si="75"/>
        <v>0</v>
      </c>
      <c r="AW600" s="54">
        <f t="shared" si="75"/>
        <v>0</v>
      </c>
      <c r="AX600" s="54">
        <f t="shared" si="75"/>
        <v>0</v>
      </c>
      <c r="AY600" s="185">
        <f t="shared" si="75"/>
        <v>0</v>
      </c>
      <c r="AZ600"/>
      <c r="BA600" s="44" t="str">
        <f t="shared" ca="1" si="70"/>
        <v>VariantAllowances</v>
      </c>
      <c r="BB600" s="44" t="str">
        <f t="shared" si="68"/>
        <v>TO variant allowances</v>
      </c>
      <c r="BC600" s="44" t="str">
        <f t="shared" si="69"/>
        <v>Variant allowances allocation to totex categories</v>
      </c>
    </row>
    <row r="601" spans="4:55">
      <c r="D601">
        <f t="shared" si="64"/>
        <v>0</v>
      </c>
      <c r="E601" s="212" t="str">
        <f t="shared" si="65"/>
        <v>Spare 6</v>
      </c>
      <c r="G601" s="43" t="str">
        <f t="shared" si="66"/>
        <v>£m 23/24 prices</v>
      </c>
      <c r="H601" s="43" t="str">
        <f t="shared" si="67"/>
        <v>Non-operational capex</v>
      </c>
      <c r="AU601" s="143">
        <f t="shared" si="75"/>
        <v>0</v>
      </c>
      <c r="AV601" s="54">
        <f t="shared" si="75"/>
        <v>0</v>
      </c>
      <c r="AW601" s="54">
        <f t="shared" si="75"/>
        <v>0</v>
      </c>
      <c r="AX601" s="54">
        <f t="shared" si="75"/>
        <v>0</v>
      </c>
      <c r="AY601" s="185">
        <f t="shared" si="75"/>
        <v>0</v>
      </c>
      <c r="AZ601"/>
      <c r="BA601" s="44" t="str">
        <f t="shared" ca="1" si="70"/>
        <v>VariantAllowances</v>
      </c>
      <c r="BB601" s="44" t="str">
        <f t="shared" si="68"/>
        <v>TO variant allowances</v>
      </c>
      <c r="BC601" s="44" t="str">
        <f t="shared" si="69"/>
        <v>Variant allowances allocation to totex categories</v>
      </c>
    </row>
    <row r="602" spans="4:55">
      <c r="D602">
        <f t="shared" si="64"/>
        <v>0</v>
      </c>
      <c r="E602" s="212" t="str">
        <f t="shared" si="65"/>
        <v>Spare 6</v>
      </c>
      <c r="G602" s="43" t="str">
        <f t="shared" si="66"/>
        <v>£m 23/24 prices</v>
      </c>
      <c r="H602" s="43" t="str">
        <f t="shared" si="67"/>
        <v>Non-load (opex)</v>
      </c>
      <c r="AU602" s="143">
        <f t="shared" si="75"/>
        <v>0</v>
      </c>
      <c r="AV602" s="54">
        <f t="shared" si="75"/>
        <v>0</v>
      </c>
      <c r="AW602" s="54">
        <f t="shared" si="75"/>
        <v>0</v>
      </c>
      <c r="AX602" s="54">
        <f t="shared" si="75"/>
        <v>0</v>
      </c>
      <c r="AY602" s="185">
        <f t="shared" si="75"/>
        <v>0</v>
      </c>
      <c r="AZ602"/>
      <c r="BA602" s="44" t="str">
        <f t="shared" ca="1" si="70"/>
        <v>VariantAllowances</v>
      </c>
      <c r="BB602" s="44" t="str">
        <f t="shared" si="68"/>
        <v>TO variant allowances</v>
      </c>
      <c r="BC602" s="44" t="str">
        <f t="shared" si="69"/>
        <v>Variant allowances allocation to totex categories</v>
      </c>
    </row>
    <row r="603" spans="4:55">
      <c r="D603">
        <f t="shared" si="64"/>
        <v>0</v>
      </c>
      <c r="E603" s="201" t="str">
        <f t="shared" si="65"/>
        <v>Spare 6</v>
      </c>
      <c r="F603" s="225"/>
      <c r="G603" s="202" t="str">
        <f t="shared" si="66"/>
        <v>£m 23/24 prices</v>
      </c>
      <c r="H603" s="202" t="str">
        <f t="shared" si="67"/>
        <v>Indirects (opex)</v>
      </c>
      <c r="I603" s="202"/>
      <c r="J603" s="202"/>
      <c r="K603" s="202"/>
      <c r="L603" s="202"/>
      <c r="M603" s="202"/>
      <c r="N603" s="202"/>
      <c r="O603" s="202"/>
      <c r="P603" s="202"/>
      <c r="Q603" s="202"/>
      <c r="R603" s="202"/>
      <c r="S603" s="202"/>
      <c r="T603" s="202"/>
      <c r="U603" s="202"/>
      <c r="V603" s="202"/>
      <c r="W603" s="202"/>
      <c r="X603" s="202"/>
      <c r="Y603" s="202"/>
      <c r="Z603" s="202"/>
      <c r="AA603" s="202"/>
      <c r="AB603" s="202"/>
      <c r="AC603" s="202"/>
      <c r="AD603" s="202"/>
      <c r="AE603" s="202"/>
      <c r="AF603" s="202"/>
      <c r="AG603" s="202"/>
      <c r="AH603" s="202"/>
      <c r="AI603" s="202"/>
      <c r="AJ603" s="202"/>
      <c r="AK603" s="202"/>
      <c r="AL603" s="202"/>
      <c r="AM603" s="202"/>
      <c r="AN603" s="202"/>
      <c r="AO603" s="202"/>
      <c r="AP603" s="202"/>
      <c r="AQ603" s="202"/>
      <c r="AR603" s="202"/>
      <c r="AS603" s="202"/>
      <c r="AT603" s="203"/>
      <c r="AU603" s="232">
        <f t="shared" si="75"/>
        <v>0</v>
      </c>
      <c r="AV603" s="233">
        <f t="shared" si="75"/>
        <v>0</v>
      </c>
      <c r="AW603" s="233">
        <f t="shared" si="75"/>
        <v>0</v>
      </c>
      <c r="AX603" s="233">
        <f t="shared" si="75"/>
        <v>0</v>
      </c>
      <c r="AY603" s="234">
        <f t="shared" si="75"/>
        <v>0</v>
      </c>
      <c r="AZ603"/>
      <c r="BA603" s="44" t="str">
        <f t="shared" ca="1" si="70"/>
        <v>VariantAllowances</v>
      </c>
      <c r="BB603" s="44" t="str">
        <f t="shared" si="68"/>
        <v>TO variant allowances</v>
      </c>
      <c r="BC603" s="44" t="str">
        <f t="shared" si="69"/>
        <v>Variant allowances allocation to totex categories</v>
      </c>
    </row>
    <row r="604" spans="4:55">
      <c r="D604">
        <f t="shared" si="64"/>
        <v>0</v>
      </c>
      <c r="E604" s="195" t="str">
        <f t="shared" si="65"/>
        <v>Spare 7</v>
      </c>
      <c r="F604" s="221"/>
      <c r="G604" s="196" t="str">
        <f t="shared" si="66"/>
        <v>£m 23/24 prices</v>
      </c>
      <c r="H604" s="196" t="str">
        <f t="shared" si="67"/>
        <v>Load related capex</v>
      </c>
      <c r="I604" s="196"/>
      <c r="J604" s="196"/>
      <c r="K604" s="196"/>
      <c r="L604" s="196"/>
      <c r="M604" s="196"/>
      <c r="N604" s="196"/>
      <c r="O604" s="196"/>
      <c r="P604" s="196"/>
      <c r="Q604" s="196"/>
      <c r="R604" s="196"/>
      <c r="S604" s="196"/>
      <c r="T604" s="196"/>
      <c r="U604" s="196"/>
      <c r="V604" s="196"/>
      <c r="W604" s="196"/>
      <c r="X604" s="196"/>
      <c r="Y604" s="196"/>
      <c r="Z604" s="196"/>
      <c r="AA604" s="196"/>
      <c r="AB604" s="196"/>
      <c r="AC604" s="196"/>
      <c r="AD604" s="196"/>
      <c r="AE604" s="196"/>
      <c r="AF604" s="196"/>
      <c r="AG604" s="196"/>
      <c r="AH604" s="196"/>
      <c r="AI604" s="196"/>
      <c r="AJ604" s="196"/>
      <c r="AK604" s="196"/>
      <c r="AL604" s="196"/>
      <c r="AM604" s="196"/>
      <c r="AN604" s="196"/>
      <c r="AO604" s="196"/>
      <c r="AP604" s="196"/>
      <c r="AQ604" s="196"/>
      <c r="AR604" s="196"/>
      <c r="AS604" s="196"/>
      <c r="AT604" s="197"/>
      <c r="AU604" s="229">
        <f t="shared" si="75"/>
        <v>0</v>
      </c>
      <c r="AV604" s="230">
        <f t="shared" si="75"/>
        <v>0</v>
      </c>
      <c r="AW604" s="230">
        <f t="shared" si="75"/>
        <v>0</v>
      </c>
      <c r="AX604" s="230">
        <f t="shared" si="75"/>
        <v>0</v>
      </c>
      <c r="AY604" s="231">
        <f t="shared" si="75"/>
        <v>0</v>
      </c>
      <c r="AZ604"/>
      <c r="BA604" s="44" t="str">
        <f t="shared" ca="1" si="70"/>
        <v>VariantAllowances</v>
      </c>
      <c r="BB604" s="44" t="str">
        <f t="shared" si="68"/>
        <v>TO variant allowances</v>
      </c>
      <c r="BC604" s="44" t="str">
        <f t="shared" si="69"/>
        <v>Variant allowances allocation to totex categories</v>
      </c>
    </row>
    <row r="605" spans="4:55">
      <c r="D605">
        <f t="shared" si="64"/>
        <v>0</v>
      </c>
      <c r="E605" s="212" t="str">
        <f t="shared" si="65"/>
        <v>Spare 7</v>
      </c>
      <c r="G605" s="43" t="str">
        <f t="shared" si="66"/>
        <v>£m 23/24 prices</v>
      </c>
      <c r="H605" s="43" t="str">
        <f t="shared" si="67"/>
        <v>Asset replacement capex</v>
      </c>
      <c r="AU605" s="143">
        <f t="shared" si="75"/>
        <v>0</v>
      </c>
      <c r="AV605" s="54">
        <f t="shared" si="75"/>
        <v>0</v>
      </c>
      <c r="AW605" s="54">
        <f t="shared" si="75"/>
        <v>0</v>
      </c>
      <c r="AX605" s="54">
        <f t="shared" si="75"/>
        <v>0</v>
      </c>
      <c r="AY605" s="185">
        <f t="shared" si="75"/>
        <v>0</v>
      </c>
      <c r="AZ605"/>
      <c r="BA605" s="44" t="str">
        <f t="shared" ca="1" si="70"/>
        <v>VariantAllowances</v>
      </c>
      <c r="BB605" s="44" t="str">
        <f t="shared" si="68"/>
        <v>TO variant allowances</v>
      </c>
      <c r="BC605" s="44" t="str">
        <f t="shared" si="69"/>
        <v>Variant allowances allocation to totex categories</v>
      </c>
    </row>
    <row r="606" spans="4:55">
      <c r="D606">
        <f t="shared" si="64"/>
        <v>0</v>
      </c>
      <c r="E606" s="212" t="str">
        <f t="shared" si="65"/>
        <v>Spare 7</v>
      </c>
      <c r="G606" s="43" t="str">
        <f t="shared" si="66"/>
        <v>£m 23/24 prices</v>
      </c>
      <c r="H606" s="43" t="str">
        <f t="shared" si="67"/>
        <v>Other capex</v>
      </c>
      <c r="AU606" s="143">
        <f t="shared" si="75"/>
        <v>0</v>
      </c>
      <c r="AV606" s="54">
        <f t="shared" si="75"/>
        <v>0</v>
      </c>
      <c r="AW606" s="54">
        <f t="shared" si="75"/>
        <v>0</v>
      </c>
      <c r="AX606" s="54">
        <f t="shared" si="75"/>
        <v>0</v>
      </c>
      <c r="AY606" s="185">
        <f t="shared" si="75"/>
        <v>0</v>
      </c>
      <c r="AZ606"/>
      <c r="BA606" s="44" t="str">
        <f t="shared" ca="1" si="70"/>
        <v>VariantAllowances</v>
      </c>
      <c r="BB606" s="44" t="str">
        <f t="shared" si="68"/>
        <v>TO variant allowances</v>
      </c>
      <c r="BC606" s="44" t="str">
        <f t="shared" si="69"/>
        <v>Variant allowances allocation to totex categories</v>
      </c>
    </row>
    <row r="607" spans="4:55">
      <c r="D607">
        <f t="shared" si="64"/>
        <v>0</v>
      </c>
      <c r="E607" s="212" t="str">
        <f t="shared" si="65"/>
        <v>Spare 7</v>
      </c>
      <c r="G607" s="43" t="str">
        <f t="shared" si="66"/>
        <v>£m 23/24 prices</v>
      </c>
      <c r="H607" s="43" t="str">
        <f t="shared" si="67"/>
        <v>Non-operational capex</v>
      </c>
      <c r="AU607" s="143">
        <f t="shared" si="75"/>
        <v>0</v>
      </c>
      <c r="AV607" s="54">
        <f t="shared" si="75"/>
        <v>0</v>
      </c>
      <c r="AW607" s="54">
        <f t="shared" si="75"/>
        <v>0</v>
      </c>
      <c r="AX607" s="54">
        <f t="shared" si="75"/>
        <v>0</v>
      </c>
      <c r="AY607" s="185">
        <f t="shared" si="75"/>
        <v>0</v>
      </c>
      <c r="AZ607"/>
      <c r="BA607" s="44" t="str">
        <f t="shared" ca="1" si="70"/>
        <v>VariantAllowances</v>
      </c>
      <c r="BB607" s="44" t="str">
        <f t="shared" si="68"/>
        <v>TO variant allowances</v>
      </c>
      <c r="BC607" s="44" t="str">
        <f t="shared" si="69"/>
        <v>Variant allowances allocation to totex categories</v>
      </c>
    </row>
    <row r="608" spans="4:55">
      <c r="D608">
        <f t="shared" si="64"/>
        <v>0</v>
      </c>
      <c r="E608" s="212" t="str">
        <f t="shared" si="65"/>
        <v>Spare 7</v>
      </c>
      <c r="G608" s="43" t="str">
        <f t="shared" si="66"/>
        <v>£m 23/24 prices</v>
      </c>
      <c r="H608" s="43" t="str">
        <f t="shared" si="67"/>
        <v>Non-load (opex)</v>
      </c>
      <c r="AU608" s="143">
        <f t="shared" ref="AU608:AY615" si="76">INDEX(AU$8:AU$50,MATCH($E608,$E$8:$E$50,0))*AU348</f>
        <v>0</v>
      </c>
      <c r="AV608" s="54">
        <f t="shared" si="76"/>
        <v>0</v>
      </c>
      <c r="AW608" s="54">
        <f t="shared" si="76"/>
        <v>0</v>
      </c>
      <c r="AX608" s="54">
        <f t="shared" si="76"/>
        <v>0</v>
      </c>
      <c r="AY608" s="185">
        <f t="shared" si="76"/>
        <v>0</v>
      </c>
      <c r="AZ608"/>
      <c r="BA608" s="44" t="str">
        <f t="shared" ca="1" si="70"/>
        <v>VariantAllowances</v>
      </c>
      <c r="BB608" s="44" t="str">
        <f t="shared" si="68"/>
        <v>TO variant allowances</v>
      </c>
      <c r="BC608" s="44" t="str">
        <f t="shared" si="69"/>
        <v>Variant allowances allocation to totex categories</v>
      </c>
    </row>
    <row r="609" spans="2:56">
      <c r="D609">
        <f t="shared" si="64"/>
        <v>0</v>
      </c>
      <c r="E609" s="201" t="str">
        <f t="shared" si="65"/>
        <v>Spare 7</v>
      </c>
      <c r="F609" s="225"/>
      <c r="G609" s="202" t="str">
        <f t="shared" si="66"/>
        <v>£m 23/24 prices</v>
      </c>
      <c r="H609" s="202" t="str">
        <f t="shared" si="67"/>
        <v>Indirects (opex)</v>
      </c>
      <c r="I609" s="202"/>
      <c r="J609" s="202"/>
      <c r="K609" s="202"/>
      <c r="L609" s="202"/>
      <c r="M609" s="202"/>
      <c r="N609" s="202"/>
      <c r="O609" s="202"/>
      <c r="P609" s="202"/>
      <c r="Q609" s="202"/>
      <c r="R609" s="202"/>
      <c r="S609" s="202"/>
      <c r="T609" s="202"/>
      <c r="U609" s="202"/>
      <c r="V609" s="202"/>
      <c r="W609" s="202"/>
      <c r="X609" s="202"/>
      <c r="Y609" s="202"/>
      <c r="Z609" s="202"/>
      <c r="AA609" s="202"/>
      <c r="AB609" s="202"/>
      <c r="AC609" s="202"/>
      <c r="AD609" s="202"/>
      <c r="AE609" s="202"/>
      <c r="AF609" s="202"/>
      <c r="AG609" s="202"/>
      <c r="AH609" s="202"/>
      <c r="AI609" s="202"/>
      <c r="AJ609" s="202"/>
      <c r="AK609" s="202"/>
      <c r="AL609" s="202"/>
      <c r="AM609" s="202"/>
      <c r="AN609" s="202"/>
      <c r="AO609" s="202"/>
      <c r="AP609" s="202"/>
      <c r="AQ609" s="202"/>
      <c r="AR609" s="202"/>
      <c r="AS609" s="202"/>
      <c r="AT609" s="203"/>
      <c r="AU609" s="232">
        <f t="shared" si="76"/>
        <v>0</v>
      </c>
      <c r="AV609" s="233">
        <f t="shared" si="76"/>
        <v>0</v>
      </c>
      <c r="AW609" s="233">
        <f t="shared" si="76"/>
        <v>0</v>
      </c>
      <c r="AX609" s="233">
        <f t="shared" si="76"/>
        <v>0</v>
      </c>
      <c r="AY609" s="234">
        <f t="shared" si="76"/>
        <v>0</v>
      </c>
      <c r="AZ609"/>
      <c r="BA609" s="44" t="str">
        <f t="shared" ca="1" si="70"/>
        <v>VariantAllowances</v>
      </c>
      <c r="BB609" s="44" t="str">
        <f t="shared" si="68"/>
        <v>TO variant allowances</v>
      </c>
      <c r="BC609" s="44" t="str">
        <f t="shared" si="69"/>
        <v>Variant allowances allocation to totex categories</v>
      </c>
    </row>
    <row r="610" spans="2:56">
      <c r="D610">
        <f t="shared" si="64"/>
        <v>0</v>
      </c>
      <c r="E610" s="195" t="str">
        <f t="shared" si="65"/>
        <v>Spare 8</v>
      </c>
      <c r="F610" s="221"/>
      <c r="G610" s="196" t="str">
        <f t="shared" si="66"/>
        <v>£m 23/24 prices</v>
      </c>
      <c r="H610" s="196" t="str">
        <f t="shared" si="67"/>
        <v>Load related capex</v>
      </c>
      <c r="I610" s="196"/>
      <c r="J610" s="196"/>
      <c r="K610" s="196"/>
      <c r="L610" s="196"/>
      <c r="M610" s="196"/>
      <c r="N610" s="196"/>
      <c r="O610" s="196"/>
      <c r="P610" s="196"/>
      <c r="Q610" s="196"/>
      <c r="R610" s="196"/>
      <c r="S610" s="196"/>
      <c r="T610" s="196"/>
      <c r="U610" s="196"/>
      <c r="V610" s="196"/>
      <c r="W610" s="196"/>
      <c r="X610" s="196"/>
      <c r="Y610" s="196"/>
      <c r="Z610" s="196"/>
      <c r="AA610" s="196"/>
      <c r="AB610" s="196"/>
      <c r="AC610" s="196"/>
      <c r="AD610" s="196"/>
      <c r="AE610" s="196"/>
      <c r="AF610" s="196"/>
      <c r="AG610" s="196"/>
      <c r="AH610" s="196"/>
      <c r="AI610" s="196"/>
      <c r="AJ610" s="196"/>
      <c r="AK610" s="196"/>
      <c r="AL610" s="196"/>
      <c r="AM610" s="196"/>
      <c r="AN610" s="196"/>
      <c r="AO610" s="196"/>
      <c r="AP610" s="196"/>
      <c r="AQ610" s="196"/>
      <c r="AR610" s="196"/>
      <c r="AS610" s="196"/>
      <c r="AT610" s="197"/>
      <c r="AU610" s="229">
        <f t="shared" si="76"/>
        <v>0</v>
      </c>
      <c r="AV610" s="230">
        <f t="shared" si="76"/>
        <v>0</v>
      </c>
      <c r="AW610" s="230">
        <f t="shared" si="76"/>
        <v>0</v>
      </c>
      <c r="AX610" s="230">
        <f t="shared" si="76"/>
        <v>0</v>
      </c>
      <c r="AY610" s="231">
        <f t="shared" si="76"/>
        <v>0</v>
      </c>
      <c r="AZ610"/>
      <c r="BA610" s="44" t="str">
        <f t="shared" ca="1" si="70"/>
        <v>VariantAllowances</v>
      </c>
      <c r="BB610" s="44" t="str">
        <f t="shared" si="68"/>
        <v>TO variant allowances</v>
      </c>
      <c r="BC610" s="44" t="str">
        <f t="shared" si="69"/>
        <v>Variant allowances allocation to totex categories</v>
      </c>
    </row>
    <row r="611" spans="2:56">
      <c r="D611">
        <f t="shared" si="64"/>
        <v>0</v>
      </c>
      <c r="E611" s="212" t="str">
        <f t="shared" si="65"/>
        <v>Spare 8</v>
      </c>
      <c r="G611" s="43" t="str">
        <f t="shared" si="66"/>
        <v>£m 23/24 prices</v>
      </c>
      <c r="H611" s="43" t="str">
        <f t="shared" si="67"/>
        <v>Asset replacement capex</v>
      </c>
      <c r="AU611" s="143">
        <f t="shared" si="76"/>
        <v>0</v>
      </c>
      <c r="AV611" s="54">
        <f t="shared" si="76"/>
        <v>0</v>
      </c>
      <c r="AW611" s="54">
        <f t="shared" si="76"/>
        <v>0</v>
      </c>
      <c r="AX611" s="54">
        <f t="shared" si="76"/>
        <v>0</v>
      </c>
      <c r="AY611" s="185">
        <f t="shared" si="76"/>
        <v>0</v>
      </c>
      <c r="AZ611"/>
      <c r="BA611" s="44" t="str">
        <f t="shared" ca="1" si="70"/>
        <v>VariantAllowances</v>
      </c>
      <c r="BB611" s="44" t="str">
        <f t="shared" si="68"/>
        <v>TO variant allowances</v>
      </c>
      <c r="BC611" s="44" t="str">
        <f t="shared" si="69"/>
        <v>Variant allowances allocation to totex categories</v>
      </c>
    </row>
    <row r="612" spans="2:56">
      <c r="D612">
        <f t="shared" si="64"/>
        <v>0</v>
      </c>
      <c r="E612" s="212" t="str">
        <f t="shared" si="65"/>
        <v>Spare 8</v>
      </c>
      <c r="G612" s="43" t="str">
        <f t="shared" si="66"/>
        <v>£m 23/24 prices</v>
      </c>
      <c r="H612" s="43" t="str">
        <f t="shared" si="67"/>
        <v>Other capex</v>
      </c>
      <c r="AU612" s="143">
        <f t="shared" si="76"/>
        <v>0</v>
      </c>
      <c r="AV612" s="54">
        <f t="shared" si="76"/>
        <v>0</v>
      </c>
      <c r="AW612" s="54">
        <f t="shared" si="76"/>
        <v>0</v>
      </c>
      <c r="AX612" s="54">
        <f t="shared" si="76"/>
        <v>0</v>
      </c>
      <c r="AY612" s="185">
        <f t="shared" si="76"/>
        <v>0</v>
      </c>
      <c r="AZ612"/>
      <c r="BA612" s="44" t="str">
        <f t="shared" ca="1" si="70"/>
        <v>VariantAllowances</v>
      </c>
      <c r="BB612" s="44" t="str">
        <f t="shared" si="68"/>
        <v>TO variant allowances</v>
      </c>
      <c r="BC612" s="44" t="str">
        <f t="shared" si="69"/>
        <v>Variant allowances allocation to totex categories</v>
      </c>
    </row>
    <row r="613" spans="2:56">
      <c r="D613">
        <f t="shared" si="64"/>
        <v>0</v>
      </c>
      <c r="E613" s="212" t="str">
        <f t="shared" si="65"/>
        <v>Spare 8</v>
      </c>
      <c r="G613" s="43" t="str">
        <f t="shared" si="66"/>
        <v>£m 23/24 prices</v>
      </c>
      <c r="H613" s="43" t="str">
        <f t="shared" si="67"/>
        <v>Non-operational capex</v>
      </c>
      <c r="AU613" s="143">
        <f t="shared" si="76"/>
        <v>0</v>
      </c>
      <c r="AV613" s="54">
        <f t="shared" si="76"/>
        <v>0</v>
      </c>
      <c r="AW613" s="54">
        <f t="shared" si="76"/>
        <v>0</v>
      </c>
      <c r="AX613" s="54">
        <f t="shared" si="76"/>
        <v>0</v>
      </c>
      <c r="AY613" s="185">
        <f t="shared" si="76"/>
        <v>0</v>
      </c>
      <c r="AZ613"/>
      <c r="BA613" s="44" t="str">
        <f t="shared" ca="1" si="70"/>
        <v>VariantAllowances</v>
      </c>
      <c r="BB613" s="44" t="str">
        <f t="shared" si="68"/>
        <v>TO variant allowances</v>
      </c>
      <c r="BC613" s="44" t="str">
        <f t="shared" si="69"/>
        <v>Variant allowances allocation to totex categories</v>
      </c>
    </row>
    <row r="614" spans="2:56">
      <c r="D614">
        <f t="shared" ref="D614:D615" si="77">INDEX($AY$53:$AY$95,MATCH(E614,$E$53:$E$95,0))</f>
        <v>0</v>
      </c>
      <c r="E614" s="212" t="str">
        <f t="shared" ref="E614:E615" si="78">E354</f>
        <v>Spare 8</v>
      </c>
      <c r="G614" s="43" t="str">
        <f t="shared" ref="G614:G615" si="79">price_label</f>
        <v>£m 23/24 prices</v>
      </c>
      <c r="H614" s="43" t="str">
        <f t="shared" ref="H614:H615" si="80">H354</f>
        <v>Non-load (opex)</v>
      </c>
      <c r="AU614" s="143">
        <f t="shared" si="76"/>
        <v>0</v>
      </c>
      <c r="AV614" s="54">
        <f t="shared" si="76"/>
        <v>0</v>
      </c>
      <c r="AW614" s="54">
        <f t="shared" si="76"/>
        <v>0</v>
      </c>
      <c r="AX614" s="54">
        <f t="shared" si="76"/>
        <v>0</v>
      </c>
      <c r="AY614" s="185">
        <f t="shared" si="76"/>
        <v>0</v>
      </c>
      <c r="AZ614"/>
      <c r="BA614" s="44" t="str">
        <f t="shared" ca="1" si="70"/>
        <v>VariantAllowances</v>
      </c>
      <c r="BB614" s="44" t="str">
        <f t="shared" ref="BB614:BB615" si="81">$A$6</f>
        <v>TO variant allowances</v>
      </c>
      <c r="BC614" s="44" t="str">
        <f t="shared" ref="BC614:BC615" si="82">$B$357</f>
        <v>Variant allowances allocation to totex categories</v>
      </c>
    </row>
    <row r="615" spans="2:56">
      <c r="D615">
        <f t="shared" si="77"/>
        <v>0</v>
      </c>
      <c r="E615" s="201" t="str">
        <f t="shared" si="78"/>
        <v>Spare 8</v>
      </c>
      <c r="F615" s="225"/>
      <c r="G615" s="202" t="str">
        <f t="shared" si="79"/>
        <v>£m 23/24 prices</v>
      </c>
      <c r="H615" s="202" t="str">
        <f t="shared" si="80"/>
        <v>Indirects (opex)</v>
      </c>
      <c r="I615" s="202"/>
      <c r="J615" s="202"/>
      <c r="K615" s="202"/>
      <c r="L615" s="202"/>
      <c r="M615" s="202"/>
      <c r="N615" s="202"/>
      <c r="O615" s="202"/>
      <c r="P615" s="202"/>
      <c r="Q615" s="202"/>
      <c r="R615" s="202"/>
      <c r="S615" s="202"/>
      <c r="T615" s="202"/>
      <c r="U615" s="202"/>
      <c r="V615" s="202"/>
      <c r="W615" s="202"/>
      <c r="X615" s="202"/>
      <c r="Y615" s="202"/>
      <c r="Z615" s="202"/>
      <c r="AA615" s="202"/>
      <c r="AB615" s="202"/>
      <c r="AC615" s="202"/>
      <c r="AD615" s="202"/>
      <c r="AE615" s="202"/>
      <c r="AF615" s="202"/>
      <c r="AG615" s="202"/>
      <c r="AH615" s="202"/>
      <c r="AI615" s="202"/>
      <c r="AJ615" s="202"/>
      <c r="AK615" s="202"/>
      <c r="AL615" s="202"/>
      <c r="AM615" s="202"/>
      <c r="AN615" s="202"/>
      <c r="AO615" s="202"/>
      <c r="AP615" s="202"/>
      <c r="AQ615" s="202"/>
      <c r="AR615" s="202"/>
      <c r="AS615" s="202"/>
      <c r="AT615" s="203"/>
      <c r="AU615" s="232">
        <f t="shared" si="76"/>
        <v>0</v>
      </c>
      <c r="AV615" s="233">
        <f t="shared" si="76"/>
        <v>0</v>
      </c>
      <c r="AW615" s="233">
        <f t="shared" si="76"/>
        <v>0</v>
      </c>
      <c r="AX615" s="233">
        <f t="shared" si="76"/>
        <v>0</v>
      </c>
      <c r="AY615" s="234">
        <f t="shared" si="76"/>
        <v>0</v>
      </c>
      <c r="AZ615"/>
      <c r="BA615" s="44" t="str">
        <f t="shared" ref="BA615" ca="1" si="83">$A$1</f>
        <v>VariantAllowances</v>
      </c>
      <c r="BB615" s="44" t="str">
        <f t="shared" si="81"/>
        <v>TO variant allowances</v>
      </c>
      <c r="BC615" s="44" t="str">
        <f t="shared" si="82"/>
        <v>Variant allowances allocation to totex categories</v>
      </c>
    </row>
    <row r="616" spans="2:56">
      <c r="AU616"/>
      <c r="AV616"/>
      <c r="AW616"/>
      <c r="AX616"/>
      <c r="AY616"/>
      <c r="AZ616"/>
    </row>
    <row r="617" spans="2:56" ht="17.5" thickBot="1">
      <c r="B617" s="11" t="s">
        <v>237</v>
      </c>
      <c r="AZ617"/>
    </row>
    <row r="618" spans="2:56" ht="17" thickTop="1" thickBot="1">
      <c r="C618" s="14" t="s">
        <v>238</v>
      </c>
      <c r="AZ618"/>
    </row>
    <row r="619" spans="2:56" ht="16.5">
      <c r="E619" s="43" t="str">
        <f>NGT_TO!E504</f>
        <v>RPE annual growth</v>
      </c>
      <c r="G619" s="43" t="s">
        <v>33</v>
      </c>
      <c r="H619" s="48" t="s">
        <v>1041</v>
      </c>
      <c r="J619" s="43" t="s">
        <v>10</v>
      </c>
      <c r="AS619" s="56">
        <f>NGT_TO!AS504</f>
        <v>-1.06E-2</v>
      </c>
      <c r="AT619" s="86">
        <f>NGT_TO!AT504</f>
        <v>-5.8999999999999999E-3</v>
      </c>
      <c r="AU619" s="175">
        <f>NGT_TO!AU504</f>
        <v>1.04E-2</v>
      </c>
      <c r="AV619" s="56">
        <f>NGT_TO!AV504</f>
        <v>1.12E-2</v>
      </c>
      <c r="AW619" s="56">
        <f>NGT_TO!AW504</f>
        <v>1.3299999999999999E-2</v>
      </c>
      <c r="AX619" s="56">
        <f>NGT_TO!AX504</f>
        <v>1.38E-2</v>
      </c>
      <c r="AY619" s="56">
        <f>NGT_TO!AY504</f>
        <v>1.52E-2</v>
      </c>
      <c r="AZ619"/>
      <c r="BA619" s="44" t="str">
        <f ca="1">$A$1</f>
        <v>VariantAllowances</v>
      </c>
      <c r="BB619" s="44" t="str">
        <f t="shared" ref="BB619:BB620" si="84">$A$6</f>
        <v>TO variant allowances</v>
      </c>
      <c r="BC619" s="44" t="str">
        <f>$B$617</f>
        <v>Real Price Effects</v>
      </c>
      <c r="BD619" s="44" t="str">
        <f>$C$618</f>
        <v>RPE indexation</v>
      </c>
    </row>
    <row r="620" spans="2:56">
      <c r="E620" s="43" t="s">
        <v>130</v>
      </c>
      <c r="G620" s="43" t="s">
        <v>102</v>
      </c>
      <c r="J620" s="43" t="s">
        <v>10</v>
      </c>
      <c r="AU620" s="183" cm="1">
        <f t="array" ref="AU620">PRODUCT(1+$AS619:AU619)</f>
        <v>0.99379159041599996</v>
      </c>
      <c r="AV620" s="67" cm="1">
        <f t="array" ref="AV620">PRODUCT(1+$AS619:AV619)</f>
        <v>1.0049220562286592</v>
      </c>
      <c r="AW620" s="67" cm="1">
        <f t="array" ref="AW620">PRODUCT(1+$AS619:AW619)</f>
        <v>1.0182875195765004</v>
      </c>
      <c r="AX620" s="67" cm="1">
        <f t="array" ref="AX620">PRODUCT(1+$AS619:AX619)</f>
        <v>1.0323398873466563</v>
      </c>
      <c r="AY620" s="67" cm="1">
        <f t="array" ref="AY620">PRODUCT(1+$AS619:AY619)</f>
        <v>1.0480314536343256</v>
      </c>
      <c r="AZ620"/>
      <c r="BA620" s="44" t="str">
        <f ca="1">$A$1</f>
        <v>VariantAllowances</v>
      </c>
      <c r="BB620" s="44" t="str">
        <f t="shared" si="84"/>
        <v>TO variant allowances</v>
      </c>
      <c r="BC620" s="44" t="str">
        <f>$B$617</f>
        <v>Real Price Effects</v>
      </c>
      <c r="BD620" s="44" t="str">
        <f>$C$618</f>
        <v>RPE indexation</v>
      </c>
    </row>
    <row r="621" spans="2:56">
      <c r="AU621"/>
      <c r="AV621"/>
      <c r="AW621"/>
      <c r="AX621"/>
      <c r="AY621"/>
      <c r="AZ621"/>
    </row>
    <row r="622" spans="2:56" ht="16.5" thickBot="1">
      <c r="C622" s="14" t="s">
        <v>239</v>
      </c>
      <c r="AU622"/>
      <c r="AV622"/>
      <c r="AW622"/>
      <c r="AX622"/>
      <c r="AY622"/>
      <c r="AZ622"/>
    </row>
    <row r="623" spans="2:56">
      <c r="E623" s="43" t="s">
        <v>136</v>
      </c>
      <c r="G623" s="43" t="str">
        <f t="shared" ref="G623:G641" si="85">price_label</f>
        <v>£m 23/24 prices</v>
      </c>
      <c r="H623" s="43" t="s">
        <v>331</v>
      </c>
      <c r="AU623" s="143">
        <f>NGT_TO!AU434*(AU$620-1)</f>
        <v>0</v>
      </c>
      <c r="AV623" s="54">
        <f>NGT_TO!AV434*(AV$620-1)</f>
        <v>0</v>
      </c>
      <c r="AW623" s="54">
        <f>NGT_TO!AW434*(AW$620-1)</f>
        <v>0</v>
      </c>
      <c r="AX623" s="54">
        <f>NGT_TO!AX434*(AX$620-1)</f>
        <v>0</v>
      </c>
      <c r="AY623" s="54">
        <f>NGT_TO!AY434*(AY$620-1)</f>
        <v>0</v>
      </c>
      <c r="AZ623"/>
      <c r="BA623" s="44" t="str">
        <f t="shared" ref="BA623:BA641" ca="1" si="86">$A$1</f>
        <v>VariantAllowances</v>
      </c>
      <c r="BB623" s="44" t="str">
        <f t="shared" ref="BB623:BB641" si="87">$A$6</f>
        <v>TO variant allowances</v>
      </c>
      <c r="BC623" s="44" t="str">
        <f t="shared" ref="BC623:BC641" si="88">$B$617</f>
        <v>Real Price Effects</v>
      </c>
      <c r="BD623" s="44" t="str">
        <f t="shared" ref="BD623:BD641" si="89">$C$622</f>
        <v>RPE allowances</v>
      </c>
    </row>
    <row r="624" spans="2:56">
      <c r="E624" s="43" t="s">
        <v>136</v>
      </c>
      <c r="G624" s="43" t="str">
        <f t="shared" si="85"/>
        <v>£m 23/24 prices</v>
      </c>
      <c r="H624" s="43" t="s">
        <v>332</v>
      </c>
      <c r="AU624" s="143">
        <f>NGT_TO!AU435*(AU$620-1)</f>
        <v>-0.29019378509230426</v>
      </c>
      <c r="AV624" s="54">
        <f>NGT_TO!AV435*(AV$620-1)</f>
        <v>0.14114961143144594</v>
      </c>
      <c r="AW624" s="54">
        <f>NGT_TO!AW435*(AW$620-1)</f>
        <v>0.63421668559575017</v>
      </c>
      <c r="AX624" s="54">
        <f>NGT_TO!AX435*(AX$620-1)</f>
        <v>0.88472018977671762</v>
      </c>
      <c r="AY624" s="54">
        <f>NGT_TO!AY435*(AY$620-1)</f>
        <v>1.887951898958258</v>
      </c>
      <c r="AZ624"/>
      <c r="BA624" s="44" t="str">
        <f t="shared" ca="1" si="86"/>
        <v>VariantAllowances</v>
      </c>
      <c r="BB624" s="44" t="str">
        <f t="shared" si="87"/>
        <v>TO variant allowances</v>
      </c>
      <c r="BC624" s="44" t="str">
        <f t="shared" si="88"/>
        <v>Real Price Effects</v>
      </c>
      <c r="BD624" s="44" t="str">
        <f t="shared" si="89"/>
        <v>RPE allowances</v>
      </c>
    </row>
    <row r="625" spans="4:56">
      <c r="E625" s="43" t="s">
        <v>136</v>
      </c>
      <c r="G625" s="43" t="str">
        <f t="shared" si="85"/>
        <v>£m 23/24 prices</v>
      </c>
      <c r="H625" s="43" t="s">
        <v>333</v>
      </c>
      <c r="AU625" s="143">
        <f>NGT_TO!AU436*(AU$620-1)</f>
        <v>0</v>
      </c>
      <c r="AV625" s="54">
        <f>NGT_TO!AV436*(AV$620-1)</f>
        <v>0</v>
      </c>
      <c r="AW625" s="54">
        <f>NGT_TO!AW436*(AW$620-1)</f>
        <v>0</v>
      </c>
      <c r="AX625" s="54">
        <f>NGT_TO!AX436*(AX$620-1)</f>
        <v>0</v>
      </c>
      <c r="AY625" s="54">
        <f>NGT_TO!AY436*(AY$620-1)</f>
        <v>0</v>
      </c>
      <c r="AZ625"/>
      <c r="BA625" s="44" t="str">
        <f t="shared" ca="1" si="86"/>
        <v>VariantAllowances</v>
      </c>
      <c r="BB625" s="44" t="str">
        <f t="shared" si="87"/>
        <v>TO variant allowances</v>
      </c>
      <c r="BC625" s="44" t="str">
        <f t="shared" si="88"/>
        <v>Real Price Effects</v>
      </c>
      <c r="BD625" s="44" t="str">
        <f t="shared" si="89"/>
        <v>RPE allowances</v>
      </c>
    </row>
    <row r="626" spans="4:56">
      <c r="E626" s="43" t="s">
        <v>136</v>
      </c>
      <c r="G626" s="43" t="str">
        <f t="shared" si="85"/>
        <v>£m 23/24 prices</v>
      </c>
      <c r="H626" s="43" t="s">
        <v>275</v>
      </c>
      <c r="AU626" s="143">
        <f>NGT_TO!AU437*(AU$620-1)</f>
        <v>-0.44713204645350102</v>
      </c>
      <c r="AV626" s="54">
        <f>NGT_TO!AV437*(AV$620-1)</f>
        <v>0.34262846088832655</v>
      </c>
      <c r="AW626" s="54">
        <f>NGT_TO!AW437*(AW$620-1)</f>
        <v>0.8088001538500833</v>
      </c>
      <c r="AX626" s="54">
        <f>NGT_TO!AX437*(AX$620-1)</f>
        <v>1.0562411528119191</v>
      </c>
      <c r="AY626" s="54">
        <f>NGT_TO!AY437*(AY$620-1)</f>
        <v>1.6079471390409039</v>
      </c>
      <c r="AZ626"/>
      <c r="BA626" s="44" t="str">
        <f t="shared" ca="1" si="86"/>
        <v>VariantAllowances</v>
      </c>
      <c r="BB626" s="44" t="str">
        <f t="shared" si="87"/>
        <v>TO variant allowances</v>
      </c>
      <c r="BC626" s="44" t="str">
        <f t="shared" si="88"/>
        <v>Real Price Effects</v>
      </c>
      <c r="BD626" s="44" t="str">
        <f t="shared" si="89"/>
        <v>RPE allowances</v>
      </c>
    </row>
    <row r="627" spans="4:56">
      <c r="E627" s="43" t="s">
        <v>136</v>
      </c>
      <c r="G627" s="43" t="str">
        <f t="shared" si="85"/>
        <v>£m 23/24 prices</v>
      </c>
      <c r="H627" s="43" t="s">
        <v>273</v>
      </c>
      <c r="AU627" s="143">
        <f>NGT_TO!AU438*(AU$620-1)</f>
        <v>-0.37695515009217023</v>
      </c>
      <c r="AV627" s="54">
        <f>NGT_TO!AV438*(AV$620-1)</f>
        <v>0.29944904437590653</v>
      </c>
      <c r="AW627" s="54">
        <f>NGT_TO!AW438*(AW$620-1)</f>
        <v>1.1153583414315553</v>
      </c>
      <c r="AX627" s="54">
        <f>NGT_TO!AX438*(AX$620-1)</f>
        <v>1.984178335587629</v>
      </c>
      <c r="AY627" s="54">
        <f>NGT_TO!AY438*(AY$620-1)</f>
        <v>2.9502708599205083</v>
      </c>
      <c r="AZ627"/>
      <c r="BA627" s="44" t="str">
        <f t="shared" ca="1" si="86"/>
        <v>VariantAllowances</v>
      </c>
      <c r="BB627" s="44" t="str">
        <f t="shared" si="87"/>
        <v>TO variant allowances</v>
      </c>
      <c r="BC627" s="44" t="str">
        <f t="shared" si="88"/>
        <v>Real Price Effects</v>
      </c>
      <c r="BD627" s="44" t="str">
        <f t="shared" si="89"/>
        <v>RPE allowances</v>
      </c>
    </row>
    <row r="628" spans="4:56">
      <c r="E628" s="43" t="s">
        <v>136</v>
      </c>
      <c r="G628" s="43" t="str">
        <f t="shared" si="85"/>
        <v>£m 23/24 prices</v>
      </c>
      <c r="H628" s="43" t="s">
        <v>274</v>
      </c>
      <c r="AU628" s="143">
        <f>NGT_TO!AU439*(AU$620-1)</f>
        <v>-0.78165941436295427</v>
      </c>
      <c r="AV628" s="54">
        <f>NGT_TO!AV439*(AV$620-1)</f>
        <v>0.6241250086782123</v>
      </c>
      <c r="AW628" s="54">
        <f>NGT_TO!AW439*(AW$620-1)</f>
        <v>2.3050911308885418</v>
      </c>
      <c r="AX628" s="54">
        <f>NGT_TO!AX439*(AX$620-1)</f>
        <v>3.9199267020261215</v>
      </c>
      <c r="AY628" s="54">
        <f>NGT_TO!AY439*(AY$620-1)</f>
        <v>5.6136408853497457</v>
      </c>
      <c r="AZ628"/>
      <c r="BA628" s="44" t="str">
        <f t="shared" ca="1" si="86"/>
        <v>VariantAllowances</v>
      </c>
      <c r="BB628" s="44" t="str">
        <f t="shared" si="87"/>
        <v>TO variant allowances</v>
      </c>
      <c r="BC628" s="44" t="str">
        <f t="shared" si="88"/>
        <v>Real Price Effects</v>
      </c>
      <c r="BD628" s="44" t="str">
        <f t="shared" si="89"/>
        <v>RPE allowances</v>
      </c>
    </row>
    <row r="629" spans="4:56">
      <c r="AU629"/>
      <c r="AV629"/>
      <c r="AW629"/>
      <c r="AX629"/>
      <c r="AY629"/>
      <c r="AZ629"/>
    </row>
    <row r="630" spans="4:56">
      <c r="D630">
        <v>1</v>
      </c>
      <c r="E630" s="196" t="s">
        <v>137</v>
      </c>
      <c r="F630" s="221"/>
      <c r="G630" s="196" t="str">
        <f t="shared" si="85"/>
        <v>£m 23/24 prices</v>
      </c>
      <c r="H630" s="196" t="s">
        <v>331</v>
      </c>
      <c r="I630" s="196"/>
      <c r="J630" s="196"/>
      <c r="K630" s="196"/>
      <c r="L630" s="196"/>
      <c r="M630" s="196"/>
      <c r="N630" s="196"/>
      <c r="O630" s="196"/>
      <c r="P630" s="196"/>
      <c r="Q630" s="196"/>
      <c r="R630" s="196"/>
      <c r="S630" s="196"/>
      <c r="T630" s="196"/>
      <c r="U630" s="196"/>
      <c r="V630" s="196"/>
      <c r="W630" s="196"/>
      <c r="X630" s="196"/>
      <c r="Y630" s="196"/>
      <c r="Z630" s="196"/>
      <c r="AA630" s="196"/>
      <c r="AB630" s="196"/>
      <c r="AC630" s="196"/>
      <c r="AD630" s="196"/>
      <c r="AE630" s="196"/>
      <c r="AF630" s="196"/>
      <c r="AG630" s="196"/>
      <c r="AH630" s="196"/>
      <c r="AI630" s="196"/>
      <c r="AJ630" s="196"/>
      <c r="AK630" s="196"/>
      <c r="AL630" s="196"/>
      <c r="AM630" s="196"/>
      <c r="AN630" s="196"/>
      <c r="AO630" s="196"/>
      <c r="AP630" s="196"/>
      <c r="AQ630" s="196"/>
      <c r="AR630" s="196"/>
      <c r="AS630" s="196"/>
      <c r="AT630" s="197"/>
      <c r="AU630" s="229">
        <f t="shared" ref="AU630:AY635" si="90">SUMIFS(AU$358:AU$615,$H$358:$H$615,$H630,$D$358:$D$615,$D630)*(AU$620-1)</f>
        <v>0</v>
      </c>
      <c r="AV630" s="230">
        <f t="shared" si="90"/>
        <v>0</v>
      </c>
      <c r="AW630" s="230">
        <f t="shared" si="90"/>
        <v>0</v>
      </c>
      <c r="AX630" s="230">
        <f t="shared" si="90"/>
        <v>0</v>
      </c>
      <c r="AY630" s="230">
        <f t="shared" si="90"/>
        <v>0</v>
      </c>
      <c r="AZ630"/>
      <c r="BA630" s="44" t="str">
        <f t="shared" ca="1" si="86"/>
        <v>VariantAllowances</v>
      </c>
      <c r="BB630" s="44" t="str">
        <f t="shared" si="87"/>
        <v>TO variant allowances</v>
      </c>
      <c r="BC630" s="44" t="str">
        <f t="shared" si="88"/>
        <v>Real Price Effects</v>
      </c>
      <c r="BD630" s="44" t="str">
        <f t="shared" si="89"/>
        <v>RPE allowances</v>
      </c>
    </row>
    <row r="631" spans="4:56">
      <c r="D631">
        <v>1</v>
      </c>
      <c r="E631" s="43" t="s">
        <v>137</v>
      </c>
      <c r="G631" s="43" t="str">
        <f t="shared" si="85"/>
        <v>£m 23/24 prices</v>
      </c>
      <c r="H631" s="43" t="s">
        <v>332</v>
      </c>
      <c r="AU631" s="143">
        <f t="shared" si="90"/>
        <v>-0.78921564384425602</v>
      </c>
      <c r="AV631" s="54">
        <f t="shared" si="90"/>
        <v>0.67382483962187889</v>
      </c>
      <c r="AW631" s="54">
        <f t="shared" si="90"/>
        <v>3.3987683023911837</v>
      </c>
      <c r="AX631" s="54">
        <f t="shared" si="90"/>
        <v>5.5620168148122255</v>
      </c>
      <c r="AY631" s="54">
        <f t="shared" si="90"/>
        <v>9.671590197878329</v>
      </c>
      <c r="AZ631"/>
      <c r="BA631" s="44" t="str">
        <f t="shared" ca="1" si="86"/>
        <v>VariantAllowances</v>
      </c>
      <c r="BB631" s="44" t="str">
        <f t="shared" si="87"/>
        <v>TO variant allowances</v>
      </c>
      <c r="BC631" s="44" t="str">
        <f t="shared" si="88"/>
        <v>Real Price Effects</v>
      </c>
      <c r="BD631" s="44" t="str">
        <f t="shared" si="89"/>
        <v>RPE allowances</v>
      </c>
    </row>
    <row r="632" spans="4:56">
      <c r="D632">
        <v>1</v>
      </c>
      <c r="E632" s="43" t="s">
        <v>137</v>
      </c>
      <c r="G632" s="43" t="str">
        <f t="shared" si="85"/>
        <v>£m 23/24 prices</v>
      </c>
      <c r="H632" s="43" t="s">
        <v>333</v>
      </c>
      <c r="AU632" s="143">
        <f t="shared" si="90"/>
        <v>-0.38833765074474652</v>
      </c>
      <c r="AV632" s="54">
        <f t="shared" si="90"/>
        <v>0.33428914040294883</v>
      </c>
      <c r="AW632" s="54">
        <f t="shared" si="90"/>
        <v>1.0617882937909375</v>
      </c>
      <c r="AX632" s="54">
        <f t="shared" si="90"/>
        <v>1.6866278845596592</v>
      </c>
      <c r="AY632" s="54">
        <f t="shared" si="90"/>
        <v>2.2247259980523459</v>
      </c>
      <c r="AZ632"/>
      <c r="BA632" s="44" t="str">
        <f t="shared" ca="1" si="86"/>
        <v>VariantAllowances</v>
      </c>
      <c r="BB632" s="44" t="str">
        <f t="shared" si="87"/>
        <v>TO variant allowances</v>
      </c>
      <c r="BC632" s="44" t="str">
        <f t="shared" si="88"/>
        <v>Real Price Effects</v>
      </c>
      <c r="BD632" s="44" t="str">
        <f t="shared" si="89"/>
        <v>RPE allowances</v>
      </c>
    </row>
    <row r="633" spans="4:56">
      <c r="D633">
        <v>1</v>
      </c>
      <c r="E633" s="43" t="s">
        <v>137</v>
      </c>
      <c r="G633" s="43" t="str">
        <f t="shared" si="85"/>
        <v>£m 23/24 prices</v>
      </c>
      <c r="H633" s="43" t="s">
        <v>275</v>
      </c>
      <c r="AU633" s="143">
        <f t="shared" si="90"/>
        <v>0</v>
      </c>
      <c r="AV633" s="54">
        <f t="shared" si="90"/>
        <v>0</v>
      </c>
      <c r="AW633" s="54">
        <f t="shared" si="90"/>
        <v>0</v>
      </c>
      <c r="AX633" s="54">
        <f t="shared" si="90"/>
        <v>0</v>
      </c>
      <c r="AY633" s="54">
        <f t="shared" si="90"/>
        <v>0</v>
      </c>
      <c r="AZ633"/>
      <c r="BA633" s="44" t="str">
        <f t="shared" ca="1" si="86"/>
        <v>VariantAllowances</v>
      </c>
      <c r="BB633" s="44" t="str">
        <f t="shared" si="87"/>
        <v>TO variant allowances</v>
      </c>
      <c r="BC633" s="44" t="str">
        <f t="shared" si="88"/>
        <v>Real Price Effects</v>
      </c>
      <c r="BD633" s="44" t="str">
        <f t="shared" si="89"/>
        <v>RPE allowances</v>
      </c>
    </row>
    <row r="634" spans="4:56">
      <c r="D634">
        <v>1</v>
      </c>
      <c r="E634" s="43" t="s">
        <v>137</v>
      </c>
      <c r="G634" s="43" t="str">
        <f t="shared" si="85"/>
        <v>£m 23/24 prices</v>
      </c>
      <c r="H634" s="43" t="s">
        <v>273</v>
      </c>
      <c r="AU634" s="143">
        <f t="shared" si="90"/>
        <v>0</v>
      </c>
      <c r="AV634" s="54">
        <f t="shared" si="90"/>
        <v>0</v>
      </c>
      <c r="AW634" s="54">
        <f t="shared" si="90"/>
        <v>0</v>
      </c>
      <c r="AX634" s="54">
        <f t="shared" si="90"/>
        <v>0</v>
      </c>
      <c r="AY634" s="54">
        <f t="shared" si="90"/>
        <v>0</v>
      </c>
      <c r="AZ634"/>
      <c r="BA634" s="44" t="str">
        <f t="shared" ca="1" si="86"/>
        <v>VariantAllowances</v>
      </c>
      <c r="BB634" s="44" t="str">
        <f t="shared" si="87"/>
        <v>TO variant allowances</v>
      </c>
      <c r="BC634" s="44" t="str">
        <f t="shared" si="88"/>
        <v>Real Price Effects</v>
      </c>
      <c r="BD634" s="44" t="str">
        <f t="shared" si="89"/>
        <v>RPE allowances</v>
      </c>
    </row>
    <row r="635" spans="4:56">
      <c r="D635">
        <v>1</v>
      </c>
      <c r="E635" s="202" t="s">
        <v>137</v>
      </c>
      <c r="F635" s="225"/>
      <c r="G635" s="202" t="str">
        <f t="shared" si="85"/>
        <v>£m 23/24 prices</v>
      </c>
      <c r="H635" s="202" t="s">
        <v>274</v>
      </c>
      <c r="I635" s="202"/>
      <c r="J635" s="202"/>
      <c r="K635" s="202"/>
      <c r="L635" s="202"/>
      <c r="M635" s="202"/>
      <c r="N635" s="202"/>
      <c r="O635" s="202"/>
      <c r="P635" s="202"/>
      <c r="Q635" s="202"/>
      <c r="R635" s="202"/>
      <c r="S635" s="202"/>
      <c r="T635" s="202"/>
      <c r="U635" s="202"/>
      <c r="V635" s="202"/>
      <c r="W635" s="202"/>
      <c r="X635" s="202"/>
      <c r="Y635" s="202"/>
      <c r="Z635" s="202"/>
      <c r="AA635" s="202"/>
      <c r="AB635" s="202"/>
      <c r="AC635" s="202"/>
      <c r="AD635" s="202"/>
      <c r="AE635" s="202"/>
      <c r="AF635" s="202"/>
      <c r="AG635" s="202"/>
      <c r="AH635" s="202"/>
      <c r="AI635" s="202"/>
      <c r="AJ635" s="202"/>
      <c r="AK635" s="202"/>
      <c r="AL635" s="202"/>
      <c r="AM635" s="202"/>
      <c r="AN635" s="202"/>
      <c r="AO635" s="202"/>
      <c r="AP635" s="202"/>
      <c r="AQ635" s="202"/>
      <c r="AR635" s="202"/>
      <c r="AS635" s="202"/>
      <c r="AT635" s="203"/>
      <c r="AU635" s="232">
        <f t="shared" si="90"/>
        <v>-0.15476891141830182</v>
      </c>
      <c r="AV635" s="233">
        <f t="shared" si="90"/>
        <v>0.12863555321215489</v>
      </c>
      <c r="AW635" s="233">
        <f t="shared" si="90"/>
        <v>0.45066316610370144</v>
      </c>
      <c r="AX635" s="233">
        <f t="shared" si="90"/>
        <v>0.67181316173280881</v>
      </c>
      <c r="AY635" s="233">
        <f t="shared" si="90"/>
        <v>0.91980290538546594</v>
      </c>
      <c r="AZ635"/>
      <c r="BA635" s="44" t="str">
        <f t="shared" ca="1" si="86"/>
        <v>VariantAllowances</v>
      </c>
      <c r="BB635" s="44" t="str">
        <f t="shared" si="87"/>
        <v>TO variant allowances</v>
      </c>
      <c r="BC635" s="44" t="str">
        <f t="shared" si="88"/>
        <v>Real Price Effects</v>
      </c>
      <c r="BD635" s="44" t="str">
        <f t="shared" si="89"/>
        <v>RPE allowances</v>
      </c>
    </row>
    <row r="636" spans="4:56">
      <c r="D636">
        <v>2</v>
      </c>
      <c r="E636" s="196" t="s">
        <v>138</v>
      </c>
      <c r="F636" s="221"/>
      <c r="G636" s="196" t="str">
        <f t="shared" si="85"/>
        <v>£m 23/24 prices</v>
      </c>
      <c r="H636" s="196" t="s">
        <v>331</v>
      </c>
      <c r="I636" s="196"/>
      <c r="J636" s="196"/>
      <c r="K636" s="196"/>
      <c r="L636" s="196"/>
      <c r="M636" s="196"/>
      <c r="N636" s="196"/>
      <c r="O636" s="196"/>
      <c r="P636" s="196"/>
      <c r="Q636" s="196"/>
      <c r="R636" s="196"/>
      <c r="S636" s="196"/>
      <c r="T636" s="196"/>
      <c r="U636" s="196"/>
      <c r="V636" s="196"/>
      <c r="W636" s="196"/>
      <c r="X636" s="196"/>
      <c r="Y636" s="196"/>
      <c r="Z636" s="196"/>
      <c r="AA636" s="196"/>
      <c r="AB636" s="196"/>
      <c r="AC636" s="196"/>
      <c r="AD636" s="196"/>
      <c r="AE636" s="196"/>
      <c r="AF636" s="196"/>
      <c r="AG636" s="196"/>
      <c r="AH636" s="196"/>
      <c r="AI636" s="196"/>
      <c r="AJ636" s="196"/>
      <c r="AK636" s="196"/>
      <c r="AL636" s="196"/>
      <c r="AM636" s="196"/>
      <c r="AN636" s="196"/>
      <c r="AO636" s="196"/>
      <c r="AP636" s="196"/>
      <c r="AQ636" s="196"/>
      <c r="AR636" s="196"/>
      <c r="AS636" s="196"/>
      <c r="AT636" s="197"/>
      <c r="AU636" s="229">
        <f t="shared" ref="AU636:AY641" si="91">SUMIFS(AU$358:AU$616,$H$358:$H$616,$H636,$D$358:$D$616,$D636)*(AU$620-1)</f>
        <v>0</v>
      </c>
      <c r="AV636" s="230">
        <f t="shared" si="91"/>
        <v>0</v>
      </c>
      <c r="AW636" s="230">
        <f t="shared" si="91"/>
        <v>0</v>
      </c>
      <c r="AX636" s="230">
        <f t="shared" si="91"/>
        <v>0</v>
      </c>
      <c r="AY636" s="230">
        <f t="shared" si="91"/>
        <v>0</v>
      </c>
      <c r="AZ636"/>
      <c r="BA636" s="44" t="str">
        <f t="shared" ca="1" si="86"/>
        <v>VariantAllowances</v>
      </c>
      <c r="BB636" s="44" t="str">
        <f t="shared" si="87"/>
        <v>TO variant allowances</v>
      </c>
      <c r="BC636" s="44" t="str">
        <f t="shared" si="88"/>
        <v>Real Price Effects</v>
      </c>
      <c r="BD636" s="44" t="str">
        <f t="shared" si="89"/>
        <v>RPE allowances</v>
      </c>
    </row>
    <row r="637" spans="4:56">
      <c r="D637">
        <v>2</v>
      </c>
      <c r="E637" s="43" t="s">
        <v>138</v>
      </c>
      <c r="G637" s="43" t="str">
        <f t="shared" si="85"/>
        <v>£m 23/24 prices</v>
      </c>
      <c r="H637" s="43" t="s">
        <v>332</v>
      </c>
      <c r="AU637" s="143">
        <f>SUMIFS(AU$358:AU$616,$H$358:$H$616,$H637,$D$358:$D$616,$D637)*(AU$620-1)</f>
        <v>-0.76897361107424511</v>
      </c>
      <c r="AV637" s="54">
        <f t="shared" si="91"/>
        <v>0.84716648679605244</v>
      </c>
      <c r="AW637" s="54">
        <f t="shared" si="91"/>
        <v>3.2199094984166852</v>
      </c>
      <c r="AX637" s="54">
        <f t="shared" si="91"/>
        <v>3.3336943165184145</v>
      </c>
      <c r="AY637" s="54">
        <f t="shared" si="91"/>
        <v>4.4281322213467282</v>
      </c>
      <c r="AZ637"/>
      <c r="BA637" s="44" t="str">
        <f t="shared" ca="1" si="86"/>
        <v>VariantAllowances</v>
      </c>
      <c r="BB637" s="44" t="str">
        <f t="shared" si="87"/>
        <v>TO variant allowances</v>
      </c>
      <c r="BC637" s="44" t="str">
        <f t="shared" si="88"/>
        <v>Real Price Effects</v>
      </c>
      <c r="BD637" s="44" t="str">
        <f t="shared" si="89"/>
        <v>RPE allowances</v>
      </c>
    </row>
    <row r="638" spans="4:56">
      <c r="D638">
        <v>2</v>
      </c>
      <c r="E638" s="43" t="s">
        <v>138</v>
      </c>
      <c r="G638" s="43" t="str">
        <f t="shared" si="85"/>
        <v>£m 23/24 prices</v>
      </c>
      <c r="H638" s="43" t="s">
        <v>333</v>
      </c>
      <c r="AU638" s="143">
        <f>SUMIFS(AU$358:AU$616,$H$358:$H$616,$H638,$D$358:$D$616,$D638)*(AU$620-1)</f>
        <v>0</v>
      </c>
      <c r="AV638" s="54">
        <f t="shared" si="91"/>
        <v>0</v>
      </c>
      <c r="AW638" s="54">
        <f t="shared" si="91"/>
        <v>0</v>
      </c>
      <c r="AX638" s="54">
        <f t="shared" si="91"/>
        <v>0</v>
      </c>
      <c r="AY638" s="54">
        <f t="shared" si="91"/>
        <v>0</v>
      </c>
      <c r="AZ638"/>
      <c r="BA638" s="44" t="str">
        <f t="shared" ca="1" si="86"/>
        <v>VariantAllowances</v>
      </c>
      <c r="BB638" s="44" t="str">
        <f t="shared" si="87"/>
        <v>TO variant allowances</v>
      </c>
      <c r="BC638" s="44" t="str">
        <f t="shared" si="88"/>
        <v>Real Price Effects</v>
      </c>
      <c r="BD638" s="44" t="str">
        <f t="shared" si="89"/>
        <v>RPE allowances</v>
      </c>
    </row>
    <row r="639" spans="4:56">
      <c r="D639">
        <v>2</v>
      </c>
      <c r="E639" s="43" t="s">
        <v>138</v>
      </c>
      <c r="G639" s="43" t="str">
        <f t="shared" si="85"/>
        <v>£m 23/24 prices</v>
      </c>
      <c r="H639" s="43" t="s">
        <v>275</v>
      </c>
      <c r="AU639" s="143">
        <f>SUMIFS(AU$358:AU$616,$H$358:$H$616,$H639,$D$358:$D$616,$D639)*(AU$620-1)</f>
        <v>0</v>
      </c>
      <c r="AV639" s="54">
        <f t="shared" si="91"/>
        <v>0</v>
      </c>
      <c r="AW639" s="54">
        <f t="shared" si="91"/>
        <v>0</v>
      </c>
      <c r="AX639" s="54">
        <f t="shared" si="91"/>
        <v>0</v>
      </c>
      <c r="AY639" s="54">
        <f t="shared" si="91"/>
        <v>0</v>
      </c>
      <c r="AZ639"/>
      <c r="BA639" s="44" t="str">
        <f t="shared" ca="1" si="86"/>
        <v>VariantAllowances</v>
      </c>
      <c r="BB639" s="44" t="str">
        <f t="shared" si="87"/>
        <v>TO variant allowances</v>
      </c>
      <c r="BC639" s="44" t="str">
        <f t="shared" si="88"/>
        <v>Real Price Effects</v>
      </c>
      <c r="BD639" s="44" t="str">
        <f t="shared" si="89"/>
        <v>RPE allowances</v>
      </c>
    </row>
    <row r="640" spans="4:56">
      <c r="D640">
        <v>2</v>
      </c>
      <c r="E640" s="43" t="s">
        <v>138</v>
      </c>
      <c r="G640" s="43" t="str">
        <f t="shared" si="85"/>
        <v>£m 23/24 prices</v>
      </c>
      <c r="H640" s="43" t="s">
        <v>273</v>
      </c>
      <c r="AU640" s="143">
        <f>SUMIFS(AU$358:AU$616,$H$358:$H$616,$H640,$D$358:$D$616,$D640)*(AU$620-1)</f>
        <v>0</v>
      </c>
      <c r="AV640" s="54">
        <f t="shared" si="91"/>
        <v>0</v>
      </c>
      <c r="AW640" s="54">
        <f t="shared" si="91"/>
        <v>0</v>
      </c>
      <c r="AX640" s="54">
        <f t="shared" si="91"/>
        <v>0</v>
      </c>
      <c r="AY640" s="54">
        <f t="shared" si="91"/>
        <v>0</v>
      </c>
      <c r="AZ640"/>
      <c r="BA640" s="44" t="str">
        <f t="shared" ca="1" si="86"/>
        <v>VariantAllowances</v>
      </c>
      <c r="BB640" s="44" t="str">
        <f t="shared" si="87"/>
        <v>TO variant allowances</v>
      </c>
      <c r="BC640" s="44" t="str">
        <f t="shared" si="88"/>
        <v>Real Price Effects</v>
      </c>
      <c r="BD640" s="44" t="str">
        <f t="shared" si="89"/>
        <v>RPE allowances</v>
      </c>
    </row>
    <row r="641" spans="2:56">
      <c r="D641">
        <v>2</v>
      </c>
      <c r="E641" s="202" t="s">
        <v>138</v>
      </c>
      <c r="F641" s="225"/>
      <c r="G641" s="202" t="str">
        <f t="shared" si="85"/>
        <v>£m 23/24 prices</v>
      </c>
      <c r="H641" s="202" t="s">
        <v>274</v>
      </c>
      <c r="I641" s="202"/>
      <c r="J641" s="202"/>
      <c r="K641" s="202"/>
      <c r="L641" s="202"/>
      <c r="M641" s="202"/>
      <c r="N641" s="202"/>
      <c r="O641" s="202"/>
      <c r="P641" s="202"/>
      <c r="Q641" s="202"/>
      <c r="R641" s="202"/>
      <c r="S641" s="202"/>
      <c r="T641" s="202"/>
      <c r="U641" s="202"/>
      <c r="V641" s="202"/>
      <c r="W641" s="202"/>
      <c r="X641" s="202"/>
      <c r="Y641" s="202"/>
      <c r="Z641" s="202"/>
      <c r="AA641" s="202"/>
      <c r="AB641" s="202"/>
      <c r="AC641" s="202"/>
      <c r="AD641" s="202"/>
      <c r="AE641" s="202"/>
      <c r="AF641" s="202"/>
      <c r="AG641" s="202"/>
      <c r="AH641" s="202"/>
      <c r="AI641" s="202"/>
      <c r="AJ641" s="202"/>
      <c r="AK641" s="202"/>
      <c r="AL641" s="202"/>
      <c r="AM641" s="202"/>
      <c r="AN641" s="202"/>
      <c r="AO641" s="202"/>
      <c r="AP641" s="202"/>
      <c r="AQ641" s="202"/>
      <c r="AR641" s="202"/>
      <c r="AS641" s="202"/>
      <c r="AT641" s="203"/>
      <c r="AU641" s="232">
        <f>SUMIFS(AU$358:AU$616,$H$358:$H$616,$H641,$D$358:$D$616,$D641)*(AU$620-1)</f>
        <v>0</v>
      </c>
      <c r="AV641" s="233">
        <f t="shared" si="91"/>
        <v>0</v>
      </c>
      <c r="AW641" s="233">
        <f t="shared" si="91"/>
        <v>0</v>
      </c>
      <c r="AX641" s="233">
        <f t="shared" si="91"/>
        <v>0</v>
      </c>
      <c r="AY641" s="233">
        <f t="shared" si="91"/>
        <v>0</v>
      </c>
      <c r="AZ641"/>
      <c r="BA641" s="44" t="str">
        <f t="shared" ca="1" si="86"/>
        <v>VariantAllowances</v>
      </c>
      <c r="BB641" s="44" t="str">
        <f t="shared" si="87"/>
        <v>TO variant allowances</v>
      </c>
      <c r="BC641" s="44" t="str">
        <f t="shared" si="88"/>
        <v>Real Price Effects</v>
      </c>
      <c r="BD641" s="44" t="str">
        <f t="shared" si="89"/>
        <v>RPE allowances</v>
      </c>
    </row>
    <row r="642" spans="2:56">
      <c r="AZ642"/>
    </row>
    <row r="643" spans="2:56" ht="17.5" thickBot="1">
      <c r="B643" s="11" t="s">
        <v>812</v>
      </c>
      <c r="AU643"/>
      <c r="AV643"/>
      <c r="AW643"/>
      <c r="AX643"/>
      <c r="AY643"/>
      <c r="AZ643"/>
    </row>
    <row r="644" spans="2:56" ht="17" thickTop="1" thickBot="1">
      <c r="C644" s="14" t="s">
        <v>61</v>
      </c>
      <c r="AU644"/>
      <c r="AV644"/>
      <c r="AW644"/>
      <c r="AX644"/>
      <c r="AY644"/>
      <c r="AZ644"/>
    </row>
    <row r="645" spans="2:56">
      <c r="E645" s="43" t="s">
        <v>331</v>
      </c>
      <c r="G645" s="43" t="str">
        <f t="shared" ref="G645:G650" si="92">price_label</f>
        <v>£m 23/24 prices</v>
      </c>
      <c r="AP645" s="66"/>
      <c r="AU645" s="96">
        <f t="shared" ref="AU645:AY650" si="93">SUMIFS(AU$358:AU$615,$D$358:$D$615,"&lt;2",$H$358:$H$615,$E645)+AU623+AU630</f>
        <v>6.083254347769862</v>
      </c>
      <c r="AV645" s="61">
        <f t="shared" si="93"/>
        <v>8.0254791671583572</v>
      </c>
      <c r="AW645" s="61">
        <f t="shared" si="93"/>
        <v>6.7819269838536229</v>
      </c>
      <c r="AX645" s="61">
        <f t="shared" si="93"/>
        <v>9.3493801699930099</v>
      </c>
      <c r="AY645" s="61">
        <f t="shared" si="93"/>
        <v>9.295886368293079</v>
      </c>
      <c r="AZ645"/>
      <c r="BA645" s="44" t="str">
        <f t="shared" ref="BA645:BA650" ca="1" si="94">$A$1</f>
        <v>VariantAllowances</v>
      </c>
      <c r="BB645" s="44" t="str">
        <f t="shared" ref="BB645:BB650" si="95">$A$6</f>
        <v>TO variant allowances</v>
      </c>
      <c r="BC645" s="44" t="str">
        <f t="shared" ref="BC645:BC650" si="96">$B$643</f>
        <v>Variant allowance summary (including RPEs)</v>
      </c>
      <c r="BD645" s="44" t="str">
        <f t="shared" ref="BD645:BD650" si="97">$C$644</f>
        <v>CapRate 1</v>
      </c>
    </row>
    <row r="646" spans="2:56">
      <c r="E646" s="43" t="s">
        <v>332</v>
      </c>
      <c r="G646" s="43" t="str">
        <f t="shared" si="92"/>
        <v>£m 23/24 prices</v>
      </c>
      <c r="AP646" s="66"/>
      <c r="AU646" s="96">
        <f t="shared" si="93"/>
        <v>126.04101218083893</v>
      </c>
      <c r="AV646" s="61">
        <f t="shared" si="93"/>
        <v>137.71402808202726</v>
      </c>
      <c r="AW646" s="61">
        <f t="shared" si="93"/>
        <v>189.88477796480049</v>
      </c>
      <c r="AX646" s="61">
        <f t="shared" si="93"/>
        <v>178.43301374056222</v>
      </c>
      <c r="AY646" s="61">
        <f t="shared" si="93"/>
        <v>212.9190568745976</v>
      </c>
      <c r="AZ646"/>
      <c r="BA646" s="44" t="str">
        <f t="shared" ca="1" si="94"/>
        <v>VariantAllowances</v>
      </c>
      <c r="BB646" s="44" t="str">
        <f t="shared" si="95"/>
        <v>TO variant allowances</v>
      </c>
      <c r="BC646" s="44" t="str">
        <f t="shared" si="96"/>
        <v>Variant allowance summary (including RPEs)</v>
      </c>
      <c r="BD646" s="44" t="str">
        <f t="shared" si="97"/>
        <v>CapRate 1</v>
      </c>
    </row>
    <row r="647" spans="2:56">
      <c r="E647" s="43" t="s">
        <v>333</v>
      </c>
      <c r="G647" s="43" t="str">
        <f t="shared" si="92"/>
        <v>£m 23/24 prices</v>
      </c>
      <c r="AP647" s="66"/>
      <c r="AU647" s="96">
        <f t="shared" si="93"/>
        <v>68.265749816546759</v>
      </c>
      <c r="AV647" s="61">
        <f t="shared" si="93"/>
        <v>74.609207266144622</v>
      </c>
      <c r="AW647" s="61">
        <f t="shared" si="93"/>
        <v>66.609324763270081</v>
      </c>
      <c r="AX647" s="61">
        <f t="shared" si="93"/>
        <v>56.859805367227835</v>
      </c>
      <c r="AY647" s="61">
        <f t="shared" si="93"/>
        <v>51.682832774284691</v>
      </c>
      <c r="AZ647"/>
      <c r="BA647" s="44" t="str">
        <f t="shared" ca="1" si="94"/>
        <v>VariantAllowances</v>
      </c>
      <c r="BB647" s="44" t="str">
        <f t="shared" si="95"/>
        <v>TO variant allowances</v>
      </c>
      <c r="BC647" s="44" t="str">
        <f t="shared" si="96"/>
        <v>Variant allowance summary (including RPEs)</v>
      </c>
      <c r="BD647" s="44" t="str">
        <f t="shared" si="97"/>
        <v>CapRate 1</v>
      </c>
    </row>
    <row r="648" spans="2:56">
      <c r="E648" s="43" t="s">
        <v>275</v>
      </c>
      <c r="G648" s="43" t="str">
        <f t="shared" si="92"/>
        <v>£m 23/24 prices</v>
      </c>
      <c r="AU648" s="96">
        <f t="shared" si="93"/>
        <v>-0.44713204645350102</v>
      </c>
      <c r="AV648" s="61">
        <f t="shared" si="93"/>
        <v>0.34262846088832655</v>
      </c>
      <c r="AW648" s="61">
        <f t="shared" si="93"/>
        <v>0.8088001538500833</v>
      </c>
      <c r="AX648" s="61">
        <f t="shared" si="93"/>
        <v>1.0562411528119191</v>
      </c>
      <c r="AY648" s="61">
        <f t="shared" si="93"/>
        <v>1.6079471390409039</v>
      </c>
      <c r="AZ648"/>
      <c r="BA648" s="44" t="str">
        <f t="shared" ca="1" si="94"/>
        <v>VariantAllowances</v>
      </c>
      <c r="BB648" s="44" t="str">
        <f t="shared" si="95"/>
        <v>TO variant allowances</v>
      </c>
      <c r="BC648" s="44" t="str">
        <f t="shared" si="96"/>
        <v>Variant allowance summary (including RPEs)</v>
      </c>
      <c r="BD648" s="44" t="str">
        <f t="shared" si="97"/>
        <v>CapRate 1</v>
      </c>
    </row>
    <row r="649" spans="2:56">
      <c r="E649" s="43" t="s">
        <v>273</v>
      </c>
      <c r="G649" s="43" t="str">
        <f t="shared" si="92"/>
        <v>£m 23/24 prices</v>
      </c>
      <c r="AP649" s="66"/>
      <c r="AU649" s="96">
        <f t="shared" si="93"/>
        <v>-0.37695515009217023</v>
      </c>
      <c r="AV649" s="61">
        <f t="shared" si="93"/>
        <v>0.29944904437590653</v>
      </c>
      <c r="AW649" s="61">
        <f t="shared" si="93"/>
        <v>1.1153583414315553</v>
      </c>
      <c r="AX649" s="61">
        <f t="shared" si="93"/>
        <v>1.984178335587629</v>
      </c>
      <c r="AY649" s="61">
        <f t="shared" si="93"/>
        <v>2.9502708599205083</v>
      </c>
      <c r="AZ649"/>
      <c r="BA649" s="44" t="str">
        <f t="shared" ca="1" si="94"/>
        <v>VariantAllowances</v>
      </c>
      <c r="BB649" s="44" t="str">
        <f t="shared" si="95"/>
        <v>TO variant allowances</v>
      </c>
      <c r="BC649" s="44" t="str">
        <f t="shared" si="96"/>
        <v>Variant allowance summary (including RPEs)</v>
      </c>
      <c r="BD649" s="44" t="str">
        <f t="shared" si="97"/>
        <v>CapRate 1</v>
      </c>
    </row>
    <row r="650" spans="2:56">
      <c r="E650" s="43" t="s">
        <v>274</v>
      </c>
      <c r="G650" s="43" t="str">
        <f t="shared" si="92"/>
        <v>£m 23/24 prices</v>
      </c>
      <c r="AU650" s="96">
        <f t="shared" si="93"/>
        <v>26.157946638918151</v>
      </c>
      <c r="AV650" s="61">
        <f t="shared" si="93"/>
        <v>29.238936763094515</v>
      </c>
      <c r="AW650" s="61">
        <f t="shared" si="93"/>
        <v>30.586986622678808</v>
      </c>
      <c r="AX650" s="61">
        <f t="shared" si="93"/>
        <v>25.365255693654667</v>
      </c>
      <c r="AY650" s="61">
        <f t="shared" si="93"/>
        <v>25.683455622318224</v>
      </c>
      <c r="AZ650"/>
      <c r="BA650" s="44" t="str">
        <f t="shared" ca="1" si="94"/>
        <v>VariantAllowances</v>
      </c>
      <c r="BB650" s="44" t="str">
        <f t="shared" si="95"/>
        <v>TO variant allowances</v>
      </c>
      <c r="BC650" s="44" t="str">
        <f t="shared" si="96"/>
        <v>Variant allowance summary (including RPEs)</v>
      </c>
      <c r="BD650" s="44" t="str">
        <f t="shared" si="97"/>
        <v>CapRate 1</v>
      </c>
    </row>
    <row r="651" spans="2:56">
      <c r="AU651"/>
      <c r="AV651"/>
      <c r="AW651"/>
      <c r="AX651"/>
      <c r="AY651"/>
      <c r="AZ651"/>
    </row>
    <row r="652" spans="2:56" ht="16.5" thickBot="1">
      <c r="C652" s="14" t="s">
        <v>62</v>
      </c>
      <c r="AU652"/>
      <c r="AV652"/>
      <c r="AW652"/>
      <c r="AX652"/>
      <c r="AY652"/>
      <c r="AZ652"/>
    </row>
    <row r="653" spans="2:56">
      <c r="E653" s="43" t="s">
        <v>331</v>
      </c>
      <c r="G653" s="43" t="str">
        <f t="shared" ref="G653:G658" si="98">price_label</f>
        <v>£m 23/24 prices</v>
      </c>
      <c r="AU653" s="96">
        <f t="shared" ref="AU653:AY658" si="99">SUMIFS(AU$358:AU$615,$D$358:$D$615,"&gt;=2",$H$358:$H$615,$E653)+AU636</f>
        <v>0</v>
      </c>
      <c r="AV653" s="61">
        <f t="shared" si="99"/>
        <v>0</v>
      </c>
      <c r="AW653" s="61">
        <f t="shared" si="99"/>
        <v>4.1438633008999997</v>
      </c>
      <c r="AX653" s="61">
        <f t="shared" si="99"/>
        <v>5.5312558833999992</v>
      </c>
      <c r="AY653" s="61">
        <f t="shared" si="99"/>
        <v>8.7157826651000008</v>
      </c>
      <c r="AZ653"/>
      <c r="BA653" s="44" t="str">
        <f t="shared" ref="BA653:BA658" ca="1" si="100">$A$1</f>
        <v>VariantAllowances</v>
      </c>
      <c r="BB653" s="44" t="str">
        <f t="shared" ref="BB653:BB658" si="101">$A$6</f>
        <v>TO variant allowances</v>
      </c>
      <c r="BC653" s="44" t="str">
        <f t="shared" ref="BC653:BC658" si="102">$B$643</f>
        <v>Variant allowance summary (including RPEs)</v>
      </c>
      <c r="BD653" s="44" t="str">
        <f t="shared" ref="BD653:BD658" si="103">$C$652</f>
        <v>CapRate 2</v>
      </c>
    </row>
    <row r="654" spans="2:56">
      <c r="E654" s="43" t="s">
        <v>332</v>
      </c>
      <c r="G654" s="43" t="str">
        <f t="shared" si="98"/>
        <v>£m 23/24 prices</v>
      </c>
      <c r="AU654" s="96">
        <f t="shared" si="99"/>
        <v>268.41056601925101</v>
      </c>
      <c r="AV654" s="61">
        <f t="shared" si="99"/>
        <v>485.52581923988947</v>
      </c>
      <c r="AW654" s="61">
        <f t="shared" si="99"/>
        <v>469.30809664339171</v>
      </c>
      <c r="AX654" s="61">
        <f t="shared" si="99"/>
        <v>262.41109171892725</v>
      </c>
      <c r="AY654" s="61">
        <f t="shared" si="99"/>
        <v>188.88912319488645</v>
      </c>
      <c r="AZ654"/>
      <c r="BA654" s="44" t="str">
        <f t="shared" ca="1" si="100"/>
        <v>VariantAllowances</v>
      </c>
      <c r="BB654" s="44" t="str">
        <f t="shared" si="101"/>
        <v>TO variant allowances</v>
      </c>
      <c r="BC654" s="44" t="str">
        <f t="shared" si="102"/>
        <v>Variant allowance summary (including RPEs)</v>
      </c>
      <c r="BD654" s="44" t="str">
        <f t="shared" si="103"/>
        <v>CapRate 2</v>
      </c>
    </row>
    <row r="655" spans="2:56">
      <c r="E655" s="43" t="s">
        <v>333</v>
      </c>
      <c r="G655" s="43" t="str">
        <f t="shared" si="98"/>
        <v>£m 23/24 prices</v>
      </c>
      <c r="AU655" s="96">
        <f t="shared" si="99"/>
        <v>41.924399999999999</v>
      </c>
      <c r="AV655" s="61">
        <f t="shared" si="99"/>
        <v>23.305800000000001</v>
      </c>
      <c r="AW655" s="61">
        <f t="shared" si="99"/>
        <v>42.04279330751659</v>
      </c>
      <c r="AX655" s="61">
        <f t="shared" si="99"/>
        <v>20.390050887908291</v>
      </c>
      <c r="AY655" s="61">
        <f t="shared" si="99"/>
        <v>0</v>
      </c>
      <c r="AZ655"/>
      <c r="BA655" s="44" t="str">
        <f t="shared" ca="1" si="100"/>
        <v>VariantAllowances</v>
      </c>
      <c r="BB655" s="44" t="str">
        <f t="shared" si="101"/>
        <v>TO variant allowances</v>
      </c>
      <c r="BC655" s="44" t="str">
        <f t="shared" si="102"/>
        <v>Variant allowance summary (including RPEs)</v>
      </c>
      <c r="BD655" s="44" t="str">
        <f t="shared" si="103"/>
        <v>CapRate 2</v>
      </c>
    </row>
    <row r="656" spans="2:56">
      <c r="E656" s="43" t="s">
        <v>275</v>
      </c>
      <c r="G656" s="43" t="str">
        <f t="shared" si="98"/>
        <v>£m 23/24 prices</v>
      </c>
      <c r="AU656" s="96">
        <f t="shared" si="99"/>
        <v>3.9774560287488208</v>
      </c>
      <c r="AV656" s="61">
        <f t="shared" si="99"/>
        <v>15.031516864081985</v>
      </c>
      <c r="AW656" s="61">
        <f t="shared" si="99"/>
        <v>26.03780420456145</v>
      </c>
      <c r="AX656" s="61">
        <f t="shared" si="99"/>
        <v>6.6426575517922135</v>
      </c>
      <c r="AY656" s="61">
        <f t="shared" si="99"/>
        <v>0.41059197630307315</v>
      </c>
      <c r="AZ656"/>
      <c r="BA656" s="44" t="str">
        <f t="shared" ca="1" si="100"/>
        <v>VariantAllowances</v>
      </c>
      <c r="BB656" s="44" t="str">
        <f t="shared" si="101"/>
        <v>TO variant allowances</v>
      </c>
      <c r="BC656" s="44" t="str">
        <f t="shared" si="102"/>
        <v>Variant allowance summary (including RPEs)</v>
      </c>
      <c r="BD656" s="44" t="str">
        <f t="shared" si="103"/>
        <v>CapRate 2</v>
      </c>
    </row>
    <row r="657" spans="1:56">
      <c r="E657" s="43" t="s">
        <v>273</v>
      </c>
      <c r="G657" s="43" t="str">
        <f t="shared" si="98"/>
        <v>£m 23/24 prices</v>
      </c>
      <c r="AU657" s="96">
        <f t="shared" si="99"/>
        <v>3.1556000000000002</v>
      </c>
      <c r="AV657" s="61">
        <f t="shared" si="99"/>
        <v>1.7542</v>
      </c>
      <c r="AW657" s="61">
        <f t="shared" si="99"/>
        <v>1.7542</v>
      </c>
      <c r="AX657" s="61">
        <f t="shared" si="99"/>
        <v>0</v>
      </c>
      <c r="AY657" s="61">
        <f t="shared" si="99"/>
        <v>0</v>
      </c>
      <c r="AZ657"/>
      <c r="BA657" s="44" t="str">
        <f t="shared" ca="1" si="100"/>
        <v>VariantAllowances</v>
      </c>
      <c r="BB657" s="44" t="str">
        <f t="shared" si="101"/>
        <v>TO variant allowances</v>
      </c>
      <c r="BC657" s="44" t="str">
        <f t="shared" si="102"/>
        <v>Variant allowance summary (including RPEs)</v>
      </c>
      <c r="BD657" s="44" t="str">
        <f t="shared" si="103"/>
        <v>CapRate 2</v>
      </c>
    </row>
    <row r="658" spans="1:56">
      <c r="E658" s="43" t="s">
        <v>274</v>
      </c>
      <c r="G658" s="43" t="str">
        <f t="shared" si="98"/>
        <v>£m 23/24 prices</v>
      </c>
      <c r="AU658" s="96">
        <f t="shared" si="99"/>
        <v>0</v>
      </c>
      <c r="AV658" s="61">
        <f t="shared" si="99"/>
        <v>0</v>
      </c>
      <c r="AW658" s="61">
        <f t="shared" si="99"/>
        <v>0.32661128015910845</v>
      </c>
      <c r="AX658" s="61">
        <f t="shared" si="99"/>
        <v>3.4747581661517151</v>
      </c>
      <c r="AY658" s="61">
        <f t="shared" si="99"/>
        <v>2.4230976443476799</v>
      </c>
      <c r="AZ658"/>
      <c r="BA658" s="44" t="str">
        <f t="shared" ca="1" si="100"/>
        <v>VariantAllowances</v>
      </c>
      <c r="BB658" s="44" t="str">
        <f t="shared" si="101"/>
        <v>TO variant allowances</v>
      </c>
      <c r="BC658" s="44" t="str">
        <f t="shared" si="102"/>
        <v>Variant allowance summary (including RPEs)</v>
      </c>
      <c r="BD658" s="44" t="str">
        <f t="shared" si="103"/>
        <v>CapRate 2</v>
      </c>
    </row>
    <row r="659" spans="1:56">
      <c r="AU659" s="171"/>
      <c r="AV659"/>
      <c r="AW659"/>
      <c r="AX659"/>
      <c r="AY659"/>
      <c r="AZ659"/>
    </row>
    <row r="660" spans="1:56" ht="20" thickBot="1">
      <c r="A660" s="10" t="s">
        <v>496</v>
      </c>
      <c r="AU660"/>
      <c r="AV660"/>
      <c r="AW660"/>
      <c r="AX660"/>
      <c r="AY660"/>
      <c r="AZ660"/>
    </row>
    <row r="661" spans="1:56" s="9" customFormat="1" ht="18" thickTop="1" thickBot="1">
      <c r="B661" s="11" t="s">
        <v>39</v>
      </c>
      <c r="C661"/>
      <c r="D661"/>
      <c r="E661" s="43"/>
      <c r="F661" s="150"/>
      <c r="G661" s="43"/>
      <c r="H661" s="43"/>
      <c r="I661" s="43"/>
      <c r="J661" s="43"/>
      <c r="K661" s="43"/>
      <c r="L661" s="43"/>
      <c r="M661" s="43"/>
      <c r="N661" s="43"/>
      <c r="O661" s="43"/>
      <c r="P661" s="43"/>
      <c r="Q661" s="43"/>
      <c r="R661" s="43"/>
      <c r="S661" s="43"/>
      <c r="T661" s="43"/>
      <c r="U661" s="43"/>
      <c r="V661" s="43"/>
      <c r="W661" s="43"/>
      <c r="X661" s="43"/>
      <c r="Y661" s="43"/>
      <c r="Z661" s="43"/>
      <c r="AA661" s="43"/>
      <c r="AB661" s="43"/>
      <c r="AC661" s="43"/>
      <c r="AD661" s="43"/>
      <c r="AE661" s="43"/>
      <c r="AF661" s="43"/>
      <c r="AG661" s="43"/>
      <c r="AH661" s="43"/>
      <c r="AI661" s="43"/>
      <c r="AJ661" s="43"/>
      <c r="AK661" s="43"/>
      <c r="AL661" s="43"/>
      <c r="AM661" s="43"/>
      <c r="AN661" s="43"/>
      <c r="AO661" s="43"/>
      <c r="AP661" s="43"/>
      <c r="AQ661" s="43"/>
      <c r="AR661" s="43"/>
      <c r="AS661" s="43"/>
      <c r="AT661" s="76"/>
      <c r="AU661" s="43"/>
      <c r="AV661" s="43"/>
      <c r="AW661" s="43"/>
      <c r="AX661" s="43"/>
      <c r="AY661" s="43"/>
      <c r="AZ661" s="44"/>
      <c r="BA661" s="44"/>
      <c r="BB661" s="44"/>
      <c r="BC661" s="44"/>
    </row>
    <row r="662" spans="1:56" s="9" customFormat="1" ht="17" thickTop="1">
      <c r="B662" s="8"/>
      <c r="C662"/>
      <c r="D662"/>
      <c r="E662" s="43" t="str">
        <f>NGT_SO!E61</f>
        <v>Cyber resilience term Price Control Deliverable</v>
      </c>
      <c r="F662" s="150" t="str">
        <f>NGT_SO!F61</f>
        <v>SpC 3.2</v>
      </c>
      <c r="G662" s="43" t="str">
        <f t="shared" ref="G662:G677" si="104">price_label</f>
        <v>£m 23/24 prices</v>
      </c>
      <c r="H662" s="48" t="s">
        <v>1095</v>
      </c>
      <c r="I662" s="43"/>
      <c r="J662" s="43"/>
      <c r="K662" s="43"/>
      <c r="L662" s="43"/>
      <c r="M662" s="43"/>
      <c r="N662" s="43"/>
      <c r="O662" s="43"/>
      <c r="P662" s="43"/>
      <c r="Q662" s="43"/>
      <c r="R662" s="43"/>
      <c r="S662" s="43"/>
      <c r="T662" s="43"/>
      <c r="U662" s="43"/>
      <c r="V662" s="43"/>
      <c r="W662" s="43"/>
      <c r="X662" s="43"/>
      <c r="Y662" s="43"/>
      <c r="Z662" s="43"/>
      <c r="AA662" s="43"/>
      <c r="AB662" s="43"/>
      <c r="AC662" s="43"/>
      <c r="AD662" s="43"/>
      <c r="AE662" s="43"/>
      <c r="AF662" s="43"/>
      <c r="AG662" s="43"/>
      <c r="AH662" s="43"/>
      <c r="AI662" s="43"/>
      <c r="AJ662" s="43"/>
      <c r="AK662" s="43"/>
      <c r="AL662" s="43"/>
      <c r="AM662" s="43"/>
      <c r="AN662" s="43"/>
      <c r="AO662" s="43"/>
      <c r="AP662" s="43"/>
      <c r="AQ662" s="43"/>
      <c r="AR662" s="43"/>
      <c r="AS662" s="43"/>
      <c r="AT662" s="76"/>
      <c r="AU662" s="174">
        <f>NGT_SO!AU61</f>
        <v>12.74091820663757</v>
      </c>
      <c r="AV662" s="50">
        <f>NGT_SO!AV61</f>
        <v>11.108431774810478</v>
      </c>
      <c r="AW662" s="50">
        <f>NGT_SO!AW61</f>
        <v>10.998483108918286</v>
      </c>
      <c r="AX662" s="50">
        <f>NGT_SO!AX61</f>
        <v>8.3157325492065564</v>
      </c>
      <c r="AY662" s="50">
        <f>NGT_SO!AY61</f>
        <v>5.8129917227988903</v>
      </c>
      <c r="AZ662" s="44"/>
      <c r="BA662" s="44" t="str">
        <f t="shared" ref="BA662:BA674" ca="1" si="105">$A$1</f>
        <v>VariantAllowances</v>
      </c>
      <c r="BB662" s="44" t="str">
        <f>$A$660</f>
        <v>SO variant allowances</v>
      </c>
      <c r="BC662" s="44" t="str">
        <f t="shared" ref="BC662:BC674" si="106">$B$661</f>
        <v>Variant allowances</v>
      </c>
    </row>
    <row r="663" spans="1:56" s="9" customFormat="1" ht="16.5">
      <c r="B663" s="8"/>
      <c r="C663"/>
      <c r="D663"/>
      <c r="E663" s="43" t="str">
        <f>NGT_SO!E62</f>
        <v>Cyber resilience Re-Opener</v>
      </c>
      <c r="F663" s="150" t="str">
        <f>NGT_SO!F62</f>
        <v>SpC 3.2</v>
      </c>
      <c r="G663" s="43" t="str">
        <f t="shared" si="104"/>
        <v>£m 23/24 prices</v>
      </c>
      <c r="H663" s="48" t="s">
        <v>1096</v>
      </c>
      <c r="I663" s="43"/>
      <c r="J663" s="43"/>
      <c r="K663" s="43"/>
      <c r="L663" s="43"/>
      <c r="M663" s="43"/>
      <c r="N663" s="43"/>
      <c r="O663" s="43"/>
      <c r="P663" s="43"/>
      <c r="Q663" s="43"/>
      <c r="R663" s="43"/>
      <c r="S663" s="43"/>
      <c r="T663" s="43"/>
      <c r="U663" s="43"/>
      <c r="V663" s="43"/>
      <c r="W663" s="43"/>
      <c r="X663" s="43"/>
      <c r="Y663" s="43"/>
      <c r="Z663" s="43"/>
      <c r="AA663" s="43"/>
      <c r="AB663" s="43"/>
      <c r="AC663" s="43"/>
      <c r="AD663" s="43"/>
      <c r="AE663" s="43"/>
      <c r="AF663" s="43"/>
      <c r="AG663" s="43"/>
      <c r="AH663" s="43"/>
      <c r="AI663" s="43"/>
      <c r="AJ663" s="43"/>
      <c r="AK663" s="43"/>
      <c r="AL663" s="43"/>
      <c r="AM663" s="43"/>
      <c r="AN663" s="43"/>
      <c r="AO663" s="43"/>
      <c r="AP663" s="43"/>
      <c r="AQ663" s="43"/>
      <c r="AR663" s="43"/>
      <c r="AS663" s="43"/>
      <c r="AT663" s="76"/>
      <c r="AU663" s="174">
        <f>NGT_SO!AU62</f>
        <v>0</v>
      </c>
      <c r="AV663" s="50">
        <f>NGT_SO!AV62</f>
        <v>0</v>
      </c>
      <c r="AW663" s="50">
        <f>NGT_SO!AW62</f>
        <v>0</v>
      </c>
      <c r="AX663" s="50">
        <f>NGT_SO!AX62</f>
        <v>0</v>
      </c>
      <c r="AY663" s="50">
        <f>NGT_SO!AY62</f>
        <v>0</v>
      </c>
      <c r="AZ663" s="44"/>
      <c r="BA663" s="44" t="str">
        <f t="shared" ca="1" si="105"/>
        <v>VariantAllowances</v>
      </c>
      <c r="BB663" s="44" t="str">
        <f t="shared" ref="BB663:BB677" si="107">$A$660</f>
        <v>SO variant allowances</v>
      </c>
      <c r="BC663" s="44" t="str">
        <f t="shared" si="106"/>
        <v>Variant allowances</v>
      </c>
    </row>
    <row r="664" spans="1:56" s="9" customFormat="1" ht="16.5">
      <c r="B664" s="8"/>
      <c r="C664"/>
      <c r="D664"/>
      <c r="E664" s="43" t="str">
        <f>NGT_SO!E63</f>
        <v>Cyber Use it or lose it allowance</v>
      </c>
      <c r="F664" s="150" t="str">
        <f>NGT_SO!F63</f>
        <v>SpC
3.2</v>
      </c>
      <c r="G664" s="43" t="str">
        <f t="shared" si="104"/>
        <v>£m 23/24 prices</v>
      </c>
      <c r="H664" s="48" t="s">
        <v>1097</v>
      </c>
      <c r="I664" s="43"/>
      <c r="J664" s="43"/>
      <c r="K664" s="43"/>
      <c r="L664" s="43"/>
      <c r="M664" s="43"/>
      <c r="N664" s="43"/>
      <c r="O664" s="43"/>
      <c r="P664" s="43"/>
      <c r="Q664" s="43"/>
      <c r="R664" s="43"/>
      <c r="S664" s="43"/>
      <c r="T664" s="43"/>
      <c r="U664" s="43"/>
      <c r="V664" s="43"/>
      <c r="W664" s="43"/>
      <c r="X664" s="43"/>
      <c r="Y664" s="43"/>
      <c r="Z664" s="43"/>
      <c r="AA664" s="43"/>
      <c r="AB664" s="43"/>
      <c r="AC664" s="43"/>
      <c r="AD664" s="43"/>
      <c r="AE664" s="43"/>
      <c r="AF664" s="43"/>
      <c r="AG664" s="43"/>
      <c r="AH664" s="43"/>
      <c r="AI664" s="43"/>
      <c r="AJ664" s="43"/>
      <c r="AK664" s="43"/>
      <c r="AL664" s="43"/>
      <c r="AM664" s="43"/>
      <c r="AN664" s="43"/>
      <c r="AO664" s="43"/>
      <c r="AP664" s="43"/>
      <c r="AQ664" s="43"/>
      <c r="AR664" s="43"/>
      <c r="AS664" s="43"/>
      <c r="AT664" s="76"/>
      <c r="AU664" s="174">
        <f>NGT_SO!AU63</f>
        <v>1.1208418453705999</v>
      </c>
      <c r="AV664" s="50">
        <f>NGT_SO!AV63</f>
        <v>1.063803493841891</v>
      </c>
      <c r="AW664" s="50">
        <f>NGT_SO!AW63</f>
        <v>1.1924985147872689</v>
      </c>
      <c r="AX664" s="50">
        <f>NGT_SO!AX63</f>
        <v>0</v>
      </c>
      <c r="AY664" s="50">
        <f>NGT_SO!AY63</f>
        <v>0</v>
      </c>
      <c r="AZ664" s="44"/>
      <c r="BA664" s="44" t="str">
        <f t="shared" ca="1" si="105"/>
        <v>VariantAllowances</v>
      </c>
      <c r="BB664" s="44" t="str">
        <f t="shared" si="107"/>
        <v>SO variant allowances</v>
      </c>
      <c r="BC664" s="44" t="str">
        <f t="shared" si="106"/>
        <v>Variant allowances</v>
      </c>
    </row>
    <row r="665" spans="1:56" s="9" customFormat="1" ht="16.5">
      <c r="B665" s="8"/>
      <c r="C665"/>
      <c r="D665"/>
      <c r="E665" s="43" t="str">
        <f>NGT_SO!E64</f>
        <v>Decarbonisation and Environmental Policy Re-opener</v>
      </c>
      <c r="F665" s="150" t="str">
        <f>NGT_SO!F64</f>
        <v>SpC 3.6</v>
      </c>
      <c r="G665" s="43" t="str">
        <f t="shared" si="104"/>
        <v>£m 23/24 prices</v>
      </c>
      <c r="H665" s="48" t="s">
        <v>1098</v>
      </c>
      <c r="I665" s="43"/>
      <c r="J665" s="43"/>
      <c r="K665" s="43"/>
      <c r="L665" s="43"/>
      <c r="M665" s="43"/>
      <c r="N665" s="43"/>
      <c r="O665" s="43"/>
      <c r="P665" s="43"/>
      <c r="Q665" s="43"/>
      <c r="R665" s="43"/>
      <c r="S665" s="43"/>
      <c r="T665" s="43"/>
      <c r="U665" s="43"/>
      <c r="V665" s="43"/>
      <c r="W665" s="43"/>
      <c r="X665" s="43"/>
      <c r="Y665" s="43"/>
      <c r="Z665" s="43"/>
      <c r="AA665" s="43"/>
      <c r="AB665" s="43"/>
      <c r="AC665" s="43"/>
      <c r="AD665" s="43"/>
      <c r="AE665" s="43"/>
      <c r="AF665" s="43"/>
      <c r="AG665" s="43"/>
      <c r="AH665" s="43"/>
      <c r="AI665" s="43"/>
      <c r="AJ665" s="43"/>
      <c r="AK665" s="43"/>
      <c r="AL665" s="43"/>
      <c r="AM665" s="43"/>
      <c r="AN665" s="43"/>
      <c r="AO665" s="43"/>
      <c r="AP665" s="43"/>
      <c r="AQ665" s="43"/>
      <c r="AR665" s="43"/>
      <c r="AS665" s="43"/>
      <c r="AT665" s="76"/>
      <c r="AU665" s="174">
        <f>NGT_SO!AU64</f>
        <v>0</v>
      </c>
      <c r="AV665" s="50">
        <f>NGT_SO!AV64</f>
        <v>0</v>
      </c>
      <c r="AW665" s="50">
        <f>NGT_SO!AW64</f>
        <v>0</v>
      </c>
      <c r="AX665" s="50">
        <f>NGT_SO!AX64</f>
        <v>0</v>
      </c>
      <c r="AY665" s="50">
        <f>NGT_SO!AY64</f>
        <v>0</v>
      </c>
      <c r="AZ665" s="44"/>
      <c r="BA665" s="44" t="str">
        <f t="shared" ca="1" si="105"/>
        <v>VariantAllowances</v>
      </c>
      <c r="BB665" s="44" t="str">
        <f t="shared" si="107"/>
        <v>SO variant allowances</v>
      </c>
      <c r="BC665" s="44" t="str">
        <f t="shared" si="106"/>
        <v>Variant allowances</v>
      </c>
    </row>
    <row r="666" spans="1:56" s="9" customFormat="1" ht="16.5">
      <c r="B666" s="8"/>
      <c r="C666"/>
      <c r="D666"/>
      <c r="E666" s="43" t="str">
        <f>NGT_SO!E65</f>
        <v>Digitalisation Re-opener</v>
      </c>
      <c r="F666" s="150" t="str">
        <f>NGT_SO!F65</f>
        <v>SpC 3.7</v>
      </c>
      <c r="G666" s="43" t="str">
        <f t="shared" si="104"/>
        <v>£m 23/24 prices</v>
      </c>
      <c r="H666" s="48" t="s">
        <v>1099</v>
      </c>
      <c r="I666" s="43"/>
      <c r="J666" s="43"/>
      <c r="K666" s="43"/>
      <c r="L666" s="43"/>
      <c r="M666" s="43"/>
      <c r="N666" s="43"/>
      <c r="O666" s="43"/>
      <c r="P666" s="43"/>
      <c r="Q666" s="43"/>
      <c r="R666" s="43"/>
      <c r="S666" s="43"/>
      <c r="T666" s="43"/>
      <c r="U666" s="43"/>
      <c r="V666" s="43"/>
      <c r="W666" s="43"/>
      <c r="X666" s="43"/>
      <c r="Y666" s="43"/>
      <c r="Z666" s="43"/>
      <c r="AA666" s="43"/>
      <c r="AB666" s="43"/>
      <c r="AC666" s="43"/>
      <c r="AD666" s="43"/>
      <c r="AE666" s="43"/>
      <c r="AF666" s="43"/>
      <c r="AG666" s="43"/>
      <c r="AH666" s="43"/>
      <c r="AI666" s="43"/>
      <c r="AJ666" s="43"/>
      <c r="AK666" s="43"/>
      <c r="AL666" s="43"/>
      <c r="AM666" s="43"/>
      <c r="AN666" s="43"/>
      <c r="AO666" s="43"/>
      <c r="AP666" s="43"/>
      <c r="AQ666" s="43"/>
      <c r="AR666" s="43"/>
      <c r="AS666" s="43"/>
      <c r="AT666" s="76"/>
      <c r="AU666" s="174">
        <f>NGT_SO!AU65</f>
        <v>0</v>
      </c>
      <c r="AV666" s="50">
        <f>NGT_SO!AV65</f>
        <v>0</v>
      </c>
      <c r="AW666" s="50">
        <f>NGT_SO!AW65</f>
        <v>0</v>
      </c>
      <c r="AX666" s="50">
        <f>NGT_SO!AX65</f>
        <v>0</v>
      </c>
      <c r="AY666" s="50">
        <f>NGT_SO!AY65</f>
        <v>0</v>
      </c>
      <c r="AZ666" s="44"/>
      <c r="BA666" s="44" t="str">
        <f t="shared" ca="1" si="105"/>
        <v>VariantAllowances</v>
      </c>
      <c r="BB666" s="44" t="str">
        <f t="shared" si="107"/>
        <v>SO variant allowances</v>
      </c>
      <c r="BC666" s="44" t="str">
        <f t="shared" si="106"/>
        <v>Variant allowances</v>
      </c>
    </row>
    <row r="667" spans="1:56" s="9" customFormat="1" ht="16.5">
      <c r="B667" s="8"/>
      <c r="C667"/>
      <c r="D667"/>
      <c r="E667" s="43" t="str">
        <f>NGT_SO!E66</f>
        <v>Funded Incremental Obligated Capacity Price Control Deliverable</v>
      </c>
      <c r="F667" s="150" t="str">
        <f>NGT_SO!F66</f>
        <v>SpC 3.11</v>
      </c>
      <c r="G667" s="43" t="str">
        <f t="shared" si="104"/>
        <v>£m 23/24 prices</v>
      </c>
      <c r="H667" s="48" t="s">
        <v>1100</v>
      </c>
      <c r="I667" s="43"/>
      <c r="J667" s="43"/>
      <c r="K667" s="43"/>
      <c r="L667" s="43"/>
      <c r="M667" s="43"/>
      <c r="N667" s="43"/>
      <c r="O667" s="43"/>
      <c r="P667" s="43"/>
      <c r="Q667" s="43"/>
      <c r="R667" s="43"/>
      <c r="S667" s="43"/>
      <c r="T667" s="43"/>
      <c r="U667" s="43"/>
      <c r="V667" s="43"/>
      <c r="W667" s="43"/>
      <c r="X667" s="43"/>
      <c r="Y667" s="43"/>
      <c r="Z667" s="43"/>
      <c r="AA667" s="43"/>
      <c r="AB667" s="43"/>
      <c r="AC667" s="43"/>
      <c r="AD667" s="43"/>
      <c r="AE667" s="43"/>
      <c r="AF667" s="43"/>
      <c r="AG667" s="43"/>
      <c r="AH667" s="43"/>
      <c r="AI667" s="43"/>
      <c r="AJ667" s="43"/>
      <c r="AK667" s="43"/>
      <c r="AL667" s="43"/>
      <c r="AM667" s="43"/>
      <c r="AN667" s="43"/>
      <c r="AO667" s="43"/>
      <c r="AP667" s="43"/>
      <c r="AQ667" s="43"/>
      <c r="AR667" s="43"/>
      <c r="AS667" s="43"/>
      <c r="AT667" s="76"/>
      <c r="AU667" s="174">
        <f>NGT_SO!AU66</f>
        <v>0</v>
      </c>
      <c r="AV667" s="50">
        <f>NGT_SO!AV66</f>
        <v>0</v>
      </c>
      <c r="AW667" s="50">
        <f>NGT_SO!AW66</f>
        <v>0</v>
      </c>
      <c r="AX667" s="50">
        <f>NGT_SO!AX66</f>
        <v>0</v>
      </c>
      <c r="AY667" s="50">
        <f>NGT_SO!AY66</f>
        <v>0</v>
      </c>
      <c r="AZ667" s="44"/>
      <c r="BA667" s="44" t="str">
        <f t="shared" ca="1" si="105"/>
        <v>VariantAllowances</v>
      </c>
      <c r="BB667" s="44" t="str">
        <f t="shared" si="107"/>
        <v>SO variant allowances</v>
      </c>
      <c r="BC667" s="44" t="str">
        <f t="shared" si="106"/>
        <v>Variant allowances</v>
      </c>
    </row>
    <row r="668" spans="1:56" s="9" customFormat="1" ht="16.5">
      <c r="B668" s="8"/>
      <c r="C668"/>
      <c r="D668"/>
      <c r="E668" s="43" t="str">
        <f>NGT_SO!E67</f>
        <v>Funded Incremental Obligated Capacity Price Control Deliverable -Re-Opener Element</v>
      </c>
      <c r="F668" s="150" t="str">
        <f>NGT_SO!F67</f>
        <v>SpC 3.11</v>
      </c>
      <c r="G668" s="43" t="str">
        <f t="shared" si="104"/>
        <v>£m 23/24 prices</v>
      </c>
      <c r="H668" s="48" t="s">
        <v>1101</v>
      </c>
      <c r="I668" s="43"/>
      <c r="J668" s="43"/>
      <c r="K668" s="43"/>
      <c r="L668" s="43"/>
      <c r="M668" s="43"/>
      <c r="N668" s="43"/>
      <c r="O668" s="43"/>
      <c r="P668" s="43"/>
      <c r="Q668" s="43"/>
      <c r="R668" s="43"/>
      <c r="S668" s="43"/>
      <c r="T668" s="43"/>
      <c r="U668" s="43"/>
      <c r="V668" s="43"/>
      <c r="W668" s="43"/>
      <c r="X668" s="43"/>
      <c r="Y668" s="43"/>
      <c r="Z668" s="43"/>
      <c r="AA668" s="43"/>
      <c r="AB668" s="43"/>
      <c r="AC668" s="43"/>
      <c r="AD668" s="43"/>
      <c r="AE668" s="43"/>
      <c r="AF668" s="43"/>
      <c r="AG668" s="43"/>
      <c r="AH668" s="43"/>
      <c r="AI668" s="43"/>
      <c r="AJ668" s="43"/>
      <c r="AK668" s="43"/>
      <c r="AL668" s="43"/>
      <c r="AM668" s="43"/>
      <c r="AN668" s="43"/>
      <c r="AO668" s="43"/>
      <c r="AP668" s="43"/>
      <c r="AQ668" s="43"/>
      <c r="AR668" s="43"/>
      <c r="AS668" s="43"/>
      <c r="AT668" s="76"/>
      <c r="AU668" s="174">
        <f>NGT_SO!AU67</f>
        <v>0</v>
      </c>
      <c r="AV668" s="50">
        <f>NGT_SO!AV67</f>
        <v>0</v>
      </c>
      <c r="AW668" s="50">
        <f>NGT_SO!AW67</f>
        <v>0</v>
      </c>
      <c r="AX668" s="50">
        <f>NGT_SO!AX67</f>
        <v>0</v>
      </c>
      <c r="AY668" s="50">
        <f>NGT_SO!AY67</f>
        <v>0</v>
      </c>
      <c r="AZ668" s="44"/>
      <c r="BA668" s="44" t="str">
        <f t="shared" ca="1" si="105"/>
        <v>VariantAllowances</v>
      </c>
      <c r="BB668" s="44" t="str">
        <f t="shared" si="107"/>
        <v>SO variant allowances</v>
      </c>
      <c r="BC668" s="44" t="str">
        <f t="shared" si="106"/>
        <v>Variant allowances</v>
      </c>
    </row>
    <row r="669" spans="1:56" s="9" customFormat="1" ht="16.5">
      <c r="B669" s="8"/>
      <c r="C669"/>
      <c r="D669"/>
      <c r="E669" s="43" t="str">
        <f>NGT_SO!E68</f>
        <v xml:space="preserve">Office, gas national control centre and emergency control room relocation Re-opener </v>
      </c>
      <c r="F669" s="150" t="str">
        <f>NGT_SO!F68</f>
        <v>SpC 3.20</v>
      </c>
      <c r="G669" s="43" t="str">
        <f t="shared" si="104"/>
        <v>£m 23/24 prices</v>
      </c>
      <c r="H669" s="48" t="s">
        <v>1102</v>
      </c>
      <c r="I669" s="43"/>
      <c r="J669" s="43"/>
      <c r="K669" s="43"/>
      <c r="L669" s="43"/>
      <c r="M669" s="43"/>
      <c r="N669" s="43"/>
      <c r="O669" s="43"/>
      <c r="P669" s="43"/>
      <c r="Q669" s="43"/>
      <c r="R669" s="43"/>
      <c r="S669" s="43"/>
      <c r="T669" s="43"/>
      <c r="U669" s="43"/>
      <c r="V669" s="43"/>
      <c r="W669" s="43"/>
      <c r="X669" s="43"/>
      <c r="Y669" s="43"/>
      <c r="Z669" s="43"/>
      <c r="AA669" s="43"/>
      <c r="AB669" s="43"/>
      <c r="AC669" s="43"/>
      <c r="AD669" s="43"/>
      <c r="AE669" s="43"/>
      <c r="AF669" s="43"/>
      <c r="AG669" s="43"/>
      <c r="AH669" s="43"/>
      <c r="AI669" s="43"/>
      <c r="AJ669" s="43"/>
      <c r="AK669" s="43"/>
      <c r="AL669" s="43"/>
      <c r="AM669" s="43"/>
      <c r="AN669" s="43"/>
      <c r="AO669" s="43"/>
      <c r="AP669" s="43"/>
      <c r="AQ669" s="43"/>
      <c r="AR669" s="43"/>
      <c r="AS669" s="43"/>
      <c r="AT669" s="76"/>
      <c r="AU669" s="174">
        <f>NGT_SO!AU68</f>
        <v>2.6516373524992143</v>
      </c>
      <c r="AV669" s="50">
        <f>NGT_SO!AV68</f>
        <v>10.021011242721324</v>
      </c>
      <c r="AW669" s="50">
        <f>NGT_SO!AW68</f>
        <v>17.576276989813707</v>
      </c>
      <c r="AX669" s="50">
        <f>NGT_SO!AX68</f>
        <v>6.7449438119626199</v>
      </c>
      <c r="AY669" s="50">
        <f>NGT_SO!AY68</f>
        <v>1.8891264137671688</v>
      </c>
      <c r="AZ669" s="44"/>
      <c r="BA669" s="44" t="str">
        <f t="shared" ca="1" si="105"/>
        <v>VariantAllowances</v>
      </c>
      <c r="BB669" s="44" t="str">
        <f t="shared" si="107"/>
        <v>SO variant allowances</v>
      </c>
      <c r="BC669" s="44" t="str">
        <f t="shared" si="106"/>
        <v>Variant allowances</v>
      </c>
    </row>
    <row r="670" spans="1:56" s="9" customFormat="1" ht="16.5">
      <c r="B670" s="8"/>
      <c r="C670"/>
      <c r="D670"/>
      <c r="E670" s="43" t="str">
        <f>NGT_SO!E69</f>
        <v>Network decarbonisation and emissions compliance Re-opener</v>
      </c>
      <c r="F670" s="150" t="str">
        <f>NGT_SO!F69</f>
        <v>SpC 3.23</v>
      </c>
      <c r="G670" s="43" t="str">
        <f t="shared" si="104"/>
        <v>£m 23/24 prices</v>
      </c>
      <c r="H670" s="48" t="s">
        <v>1103</v>
      </c>
      <c r="I670" s="43"/>
      <c r="J670" s="43"/>
      <c r="K670" s="43"/>
      <c r="L670" s="43"/>
      <c r="M670" s="43"/>
      <c r="N670" s="43"/>
      <c r="O670" s="43"/>
      <c r="P670" s="43"/>
      <c r="Q670" s="43"/>
      <c r="R670" s="43"/>
      <c r="S670" s="43"/>
      <c r="T670" s="43"/>
      <c r="U670" s="43"/>
      <c r="V670" s="43"/>
      <c r="W670" s="43"/>
      <c r="X670" s="43"/>
      <c r="Y670" s="43"/>
      <c r="Z670" s="43"/>
      <c r="AA670" s="43"/>
      <c r="AB670" s="43"/>
      <c r="AC670" s="43"/>
      <c r="AD670" s="43"/>
      <c r="AE670" s="43"/>
      <c r="AF670" s="43"/>
      <c r="AG670" s="43"/>
      <c r="AH670" s="43"/>
      <c r="AI670" s="43"/>
      <c r="AJ670" s="43"/>
      <c r="AK670" s="43"/>
      <c r="AL670" s="43"/>
      <c r="AM670" s="43"/>
      <c r="AN670" s="43"/>
      <c r="AO670" s="43"/>
      <c r="AP670" s="43"/>
      <c r="AQ670" s="43"/>
      <c r="AR670" s="43"/>
      <c r="AS670" s="43"/>
      <c r="AT670" s="76"/>
      <c r="AU670" s="174">
        <f>NGT_SO!AU69</f>
        <v>0</v>
      </c>
      <c r="AV670" s="50">
        <f>NGT_SO!AV69</f>
        <v>0</v>
      </c>
      <c r="AW670" s="50">
        <f>NGT_SO!AW69</f>
        <v>0</v>
      </c>
      <c r="AX670" s="50">
        <f>NGT_SO!AX69</f>
        <v>0</v>
      </c>
      <c r="AY670" s="50">
        <f>NGT_SO!AY69</f>
        <v>0</v>
      </c>
      <c r="AZ670" s="44"/>
      <c r="BA670" s="44" t="str">
        <f t="shared" ca="1" si="105"/>
        <v>VariantAllowances</v>
      </c>
      <c r="BB670" s="44" t="str">
        <f t="shared" si="107"/>
        <v>SO variant allowances</v>
      </c>
      <c r="BC670" s="44" t="str">
        <f t="shared" si="106"/>
        <v>Variant allowances</v>
      </c>
    </row>
    <row r="671" spans="1:56" s="9" customFormat="1">
      <c r="B671" s="8"/>
      <c r="C671"/>
      <c r="D671"/>
      <c r="E671" s="43" t="str">
        <f>NGT_SO!E70</f>
        <v>Spare 1</v>
      </c>
      <c r="F671" s="150"/>
      <c r="G671" s="43" t="str">
        <f t="shared" si="104"/>
        <v>£m 23/24 prices</v>
      </c>
      <c r="H671" s="48"/>
      <c r="I671" s="43"/>
      <c r="J671" s="43"/>
      <c r="K671" s="43"/>
      <c r="L671" s="43"/>
      <c r="M671" s="43"/>
      <c r="N671" s="43"/>
      <c r="O671" s="43"/>
      <c r="P671" s="43"/>
      <c r="Q671" s="43"/>
      <c r="R671" s="43"/>
      <c r="S671" s="43"/>
      <c r="T671" s="43"/>
      <c r="U671" s="43"/>
      <c r="V671" s="43"/>
      <c r="W671" s="43"/>
      <c r="X671" s="43"/>
      <c r="Y671" s="43"/>
      <c r="Z671" s="43"/>
      <c r="AA671" s="43"/>
      <c r="AB671" s="43"/>
      <c r="AC671" s="43"/>
      <c r="AD671" s="43"/>
      <c r="AE671" s="43"/>
      <c r="AF671" s="43"/>
      <c r="AG671" s="43"/>
      <c r="AH671" s="43"/>
      <c r="AI671" s="43"/>
      <c r="AJ671" s="43"/>
      <c r="AK671" s="43"/>
      <c r="AL671" s="43"/>
      <c r="AM671" s="43"/>
      <c r="AN671" s="43"/>
      <c r="AO671" s="43"/>
      <c r="AP671" s="43"/>
      <c r="AQ671" s="43"/>
      <c r="AR671" s="43"/>
      <c r="AS671" s="43"/>
      <c r="AT671" s="76"/>
      <c r="AU671" s="174">
        <f>NGT_SO!AU70</f>
        <v>0</v>
      </c>
      <c r="AV671" s="50">
        <f>NGT_SO!AV70</f>
        <v>0</v>
      </c>
      <c r="AW671" s="50">
        <f>NGT_SO!AW70</f>
        <v>0</v>
      </c>
      <c r="AX671" s="50">
        <f>NGT_SO!AX70</f>
        <v>0</v>
      </c>
      <c r="AY671" s="50">
        <f>NGT_SO!AY70</f>
        <v>0</v>
      </c>
      <c r="AZ671" s="44"/>
      <c r="BA671" s="44" t="str">
        <f t="shared" ca="1" si="105"/>
        <v>VariantAllowances</v>
      </c>
      <c r="BB671" s="44" t="str">
        <f t="shared" si="107"/>
        <v>SO variant allowances</v>
      </c>
      <c r="BC671" s="44" t="str">
        <f t="shared" si="106"/>
        <v>Variant allowances</v>
      </c>
    </row>
    <row r="672" spans="1:56" s="9" customFormat="1">
      <c r="B672" s="8"/>
      <c r="C672"/>
      <c r="D672"/>
      <c r="E672" s="43" t="str">
        <f>NGT_SO!E71</f>
        <v>Spare 2</v>
      </c>
      <c r="F672" s="150"/>
      <c r="G672" s="43" t="str">
        <f t="shared" si="104"/>
        <v>£m 23/24 prices</v>
      </c>
      <c r="H672" s="48"/>
      <c r="I672" s="43"/>
      <c r="J672" s="43"/>
      <c r="K672" s="43"/>
      <c r="L672" s="43"/>
      <c r="M672" s="43"/>
      <c r="N672" s="43"/>
      <c r="O672" s="43"/>
      <c r="P672" s="43"/>
      <c r="Q672" s="43"/>
      <c r="R672" s="43"/>
      <c r="S672" s="43"/>
      <c r="T672" s="43"/>
      <c r="U672" s="43"/>
      <c r="V672" s="43"/>
      <c r="W672" s="43"/>
      <c r="X672" s="43"/>
      <c r="Y672" s="43"/>
      <c r="Z672" s="43"/>
      <c r="AA672" s="43"/>
      <c r="AB672" s="43"/>
      <c r="AC672" s="43"/>
      <c r="AD672" s="43"/>
      <c r="AE672" s="43"/>
      <c r="AF672" s="43"/>
      <c r="AG672" s="43"/>
      <c r="AH672" s="43"/>
      <c r="AI672" s="43"/>
      <c r="AJ672" s="43"/>
      <c r="AK672" s="43"/>
      <c r="AL672" s="43"/>
      <c r="AM672" s="43"/>
      <c r="AN672" s="43"/>
      <c r="AO672" s="43"/>
      <c r="AP672" s="43"/>
      <c r="AQ672" s="43"/>
      <c r="AR672" s="43"/>
      <c r="AS672" s="43"/>
      <c r="AT672" s="76"/>
      <c r="AU672" s="174">
        <f>NGT_SO!AU71</f>
        <v>0</v>
      </c>
      <c r="AV672" s="50">
        <f>NGT_SO!AV71</f>
        <v>0</v>
      </c>
      <c r="AW672" s="50">
        <f>NGT_SO!AW71</f>
        <v>0</v>
      </c>
      <c r="AX672" s="50">
        <f>NGT_SO!AX71</f>
        <v>0</v>
      </c>
      <c r="AY672" s="50">
        <f>NGT_SO!AY71</f>
        <v>0</v>
      </c>
      <c r="AZ672" s="44"/>
      <c r="BA672" s="44" t="str">
        <f t="shared" ca="1" si="105"/>
        <v>VariantAllowances</v>
      </c>
      <c r="BB672" s="44" t="str">
        <f t="shared" si="107"/>
        <v>SO variant allowances</v>
      </c>
      <c r="BC672" s="44" t="str">
        <f t="shared" si="106"/>
        <v>Variant allowances</v>
      </c>
    </row>
    <row r="673" spans="2:55" s="9" customFormat="1">
      <c r="B673" s="8"/>
      <c r="C673"/>
      <c r="D673"/>
      <c r="E673" s="43" t="str">
        <f>NGT_SO!E72</f>
        <v>Spare 3</v>
      </c>
      <c r="F673" s="150"/>
      <c r="G673" s="43" t="str">
        <f t="shared" si="104"/>
        <v>£m 23/24 prices</v>
      </c>
      <c r="H673" s="48"/>
      <c r="I673" s="43"/>
      <c r="J673" s="43"/>
      <c r="K673" s="43"/>
      <c r="L673" s="43"/>
      <c r="M673" s="43"/>
      <c r="N673" s="43"/>
      <c r="O673" s="43"/>
      <c r="P673" s="43"/>
      <c r="Q673" s="43"/>
      <c r="R673" s="43"/>
      <c r="S673" s="43"/>
      <c r="T673" s="43"/>
      <c r="U673" s="43"/>
      <c r="V673" s="43"/>
      <c r="W673" s="43"/>
      <c r="X673" s="43"/>
      <c r="Y673" s="43"/>
      <c r="Z673" s="43"/>
      <c r="AA673" s="43"/>
      <c r="AB673" s="43"/>
      <c r="AC673" s="43"/>
      <c r="AD673" s="43"/>
      <c r="AE673" s="43"/>
      <c r="AF673" s="43"/>
      <c r="AG673" s="43"/>
      <c r="AH673" s="43"/>
      <c r="AI673" s="43"/>
      <c r="AJ673" s="43"/>
      <c r="AK673" s="43"/>
      <c r="AL673" s="43"/>
      <c r="AM673" s="43"/>
      <c r="AN673" s="43"/>
      <c r="AO673" s="43"/>
      <c r="AP673" s="43"/>
      <c r="AQ673" s="43"/>
      <c r="AR673" s="43"/>
      <c r="AS673" s="43"/>
      <c r="AT673" s="76"/>
      <c r="AU673" s="174">
        <f>NGT_SO!AU72</f>
        <v>0</v>
      </c>
      <c r="AV673" s="50">
        <f>NGT_SO!AV72</f>
        <v>0</v>
      </c>
      <c r="AW673" s="50">
        <f>NGT_SO!AW72</f>
        <v>0</v>
      </c>
      <c r="AX673" s="50">
        <f>NGT_SO!AX72</f>
        <v>0</v>
      </c>
      <c r="AY673" s="50">
        <f>NGT_SO!AY72</f>
        <v>0</v>
      </c>
      <c r="AZ673" s="44"/>
      <c r="BA673" s="44" t="str">
        <f t="shared" ca="1" si="105"/>
        <v>VariantAllowances</v>
      </c>
      <c r="BB673" s="44" t="str">
        <f t="shared" si="107"/>
        <v>SO variant allowances</v>
      </c>
      <c r="BC673" s="44" t="str">
        <f t="shared" si="106"/>
        <v>Variant allowances</v>
      </c>
    </row>
    <row r="674" spans="2:55" s="9" customFormat="1">
      <c r="B674" s="8"/>
      <c r="C674"/>
      <c r="D674"/>
      <c r="E674" s="43" t="str">
        <f>NGT_SO!E73</f>
        <v>Spare 4</v>
      </c>
      <c r="F674" s="150"/>
      <c r="G674" s="43" t="str">
        <f t="shared" si="104"/>
        <v>£m 23/24 prices</v>
      </c>
      <c r="H674" s="48"/>
      <c r="I674" s="43"/>
      <c r="J674" s="43"/>
      <c r="K674" s="43"/>
      <c r="L674" s="43"/>
      <c r="M674" s="43"/>
      <c r="N674" s="43"/>
      <c r="O674" s="43"/>
      <c r="P674" s="43"/>
      <c r="Q674" s="43"/>
      <c r="R674" s="43"/>
      <c r="S674" s="43"/>
      <c r="T674" s="43"/>
      <c r="U674" s="43"/>
      <c r="V674" s="43"/>
      <c r="W674" s="43"/>
      <c r="X674" s="43"/>
      <c r="Y674" s="43"/>
      <c r="Z674" s="43"/>
      <c r="AA674" s="43"/>
      <c r="AB674" s="43"/>
      <c r="AC674" s="43"/>
      <c r="AD674" s="43"/>
      <c r="AE674" s="43"/>
      <c r="AF674" s="43"/>
      <c r="AG674" s="43"/>
      <c r="AH674" s="43"/>
      <c r="AI674" s="43"/>
      <c r="AJ674" s="43"/>
      <c r="AK674" s="43"/>
      <c r="AL674" s="43"/>
      <c r="AM674" s="43"/>
      <c r="AN674" s="43"/>
      <c r="AO674" s="43"/>
      <c r="AP674" s="43"/>
      <c r="AQ674" s="43"/>
      <c r="AR674" s="43"/>
      <c r="AS674" s="43"/>
      <c r="AT674" s="76"/>
      <c r="AU674" s="174">
        <f>NGT_SO!AU73</f>
        <v>0</v>
      </c>
      <c r="AV674" s="50">
        <f>NGT_SO!AV73</f>
        <v>0</v>
      </c>
      <c r="AW674" s="50">
        <f>NGT_SO!AW73</f>
        <v>0</v>
      </c>
      <c r="AX674" s="50">
        <f>NGT_SO!AX73</f>
        <v>0</v>
      </c>
      <c r="AY674" s="50">
        <f>NGT_SO!AY73</f>
        <v>0</v>
      </c>
      <c r="AZ674" s="44"/>
      <c r="BA674" s="44" t="str">
        <f t="shared" ca="1" si="105"/>
        <v>VariantAllowances</v>
      </c>
      <c r="BB674" s="44" t="str">
        <f t="shared" si="107"/>
        <v>SO variant allowances</v>
      </c>
      <c r="BC674" s="44" t="str">
        <f t="shared" si="106"/>
        <v>Variant allowances</v>
      </c>
    </row>
    <row r="675" spans="2:55" s="9" customFormat="1">
      <c r="B675" s="8"/>
      <c r="C675"/>
      <c r="D675"/>
      <c r="E675" s="43" t="str">
        <f>NGT_SO!E74</f>
        <v>Spare 5</v>
      </c>
      <c r="F675" s="150"/>
      <c r="G675" s="43" t="str">
        <f t="shared" si="104"/>
        <v>£m 23/24 prices</v>
      </c>
      <c r="H675" s="48"/>
      <c r="I675" s="43"/>
      <c r="J675" s="43"/>
      <c r="K675" s="43"/>
      <c r="L675" s="43"/>
      <c r="M675" s="43"/>
      <c r="N675" s="43"/>
      <c r="O675" s="43"/>
      <c r="P675" s="43"/>
      <c r="Q675" s="43"/>
      <c r="R675" s="43"/>
      <c r="S675" s="43"/>
      <c r="T675" s="43"/>
      <c r="U675" s="43"/>
      <c r="V675" s="43"/>
      <c r="W675" s="43"/>
      <c r="X675" s="43"/>
      <c r="Y675" s="43"/>
      <c r="Z675" s="43"/>
      <c r="AA675" s="43"/>
      <c r="AB675" s="43"/>
      <c r="AC675" s="43"/>
      <c r="AD675" s="43"/>
      <c r="AE675" s="43"/>
      <c r="AF675" s="43"/>
      <c r="AG675" s="43"/>
      <c r="AH675" s="43"/>
      <c r="AI675" s="43"/>
      <c r="AJ675" s="43"/>
      <c r="AK675" s="43"/>
      <c r="AL675" s="43"/>
      <c r="AM675" s="43"/>
      <c r="AN675" s="43"/>
      <c r="AO675" s="43"/>
      <c r="AP675" s="43"/>
      <c r="AQ675" s="43"/>
      <c r="AR675" s="43"/>
      <c r="AS675" s="43"/>
      <c r="AT675" s="76"/>
      <c r="AU675" s="174">
        <f>NGT_SO!AU74</f>
        <v>0</v>
      </c>
      <c r="AV675" s="50">
        <f>NGT_SO!AV74</f>
        <v>0</v>
      </c>
      <c r="AW675" s="50">
        <f>NGT_SO!AW74</f>
        <v>0</v>
      </c>
      <c r="AX675" s="50">
        <f>NGT_SO!AX74</f>
        <v>0</v>
      </c>
      <c r="AY675" s="50">
        <f>NGT_SO!AY74</f>
        <v>0</v>
      </c>
      <c r="AZ675" s="44"/>
      <c r="BA675" s="44" t="str">
        <f ca="1">$A$1</f>
        <v>VariantAllowances</v>
      </c>
      <c r="BB675" s="44" t="str">
        <f t="shared" si="107"/>
        <v>SO variant allowances</v>
      </c>
      <c r="BC675" s="44" t="str">
        <f>$B$661</f>
        <v>Variant allowances</v>
      </c>
    </row>
    <row r="676" spans="2:55" s="9" customFormat="1">
      <c r="B676" s="8"/>
      <c r="C676"/>
      <c r="D676"/>
      <c r="E676" s="43" t="str">
        <f>NGT_SO!E75</f>
        <v>Spare 6</v>
      </c>
      <c r="F676" s="150"/>
      <c r="G676" s="43" t="str">
        <f t="shared" si="104"/>
        <v>£m 23/24 prices</v>
      </c>
      <c r="H676" s="48"/>
      <c r="I676" s="43"/>
      <c r="J676" s="43"/>
      <c r="K676" s="43"/>
      <c r="L676" s="43"/>
      <c r="M676" s="43"/>
      <c r="N676" s="43"/>
      <c r="O676" s="43"/>
      <c r="P676" s="43"/>
      <c r="Q676" s="43"/>
      <c r="R676" s="43"/>
      <c r="S676" s="43"/>
      <c r="T676" s="43"/>
      <c r="U676" s="43"/>
      <c r="V676" s="43"/>
      <c r="W676" s="43"/>
      <c r="X676" s="43"/>
      <c r="Y676" s="43"/>
      <c r="Z676" s="43"/>
      <c r="AA676" s="43"/>
      <c r="AB676" s="43"/>
      <c r="AC676" s="43"/>
      <c r="AD676" s="43"/>
      <c r="AE676" s="43"/>
      <c r="AF676" s="43"/>
      <c r="AG676" s="43"/>
      <c r="AH676" s="43"/>
      <c r="AI676" s="43"/>
      <c r="AJ676" s="43"/>
      <c r="AK676" s="43"/>
      <c r="AL676" s="43"/>
      <c r="AM676" s="43"/>
      <c r="AN676" s="43"/>
      <c r="AO676" s="43"/>
      <c r="AP676" s="43"/>
      <c r="AQ676" s="43"/>
      <c r="AR676" s="43"/>
      <c r="AS676" s="43"/>
      <c r="AT676" s="76"/>
      <c r="AU676" s="174">
        <f>NGT_SO!AU75</f>
        <v>0</v>
      </c>
      <c r="AV676" s="50">
        <f>NGT_SO!AV75</f>
        <v>0</v>
      </c>
      <c r="AW676" s="50">
        <f>NGT_SO!AW75</f>
        <v>0</v>
      </c>
      <c r="AX676" s="50">
        <f>NGT_SO!AX75</f>
        <v>0</v>
      </c>
      <c r="AY676" s="50">
        <f>NGT_SO!AY75</f>
        <v>0</v>
      </c>
      <c r="AZ676" s="44"/>
      <c r="BA676" s="44" t="str">
        <f ca="1">$A$1</f>
        <v>VariantAllowances</v>
      </c>
      <c r="BB676" s="44" t="str">
        <f t="shared" si="107"/>
        <v>SO variant allowances</v>
      </c>
      <c r="BC676" s="44" t="str">
        <f>$B$661</f>
        <v>Variant allowances</v>
      </c>
    </row>
    <row r="677" spans="2:55" s="9" customFormat="1">
      <c r="B677" s="8"/>
      <c r="C677"/>
      <c r="D677"/>
      <c r="E677" s="43" t="str">
        <f>NGT_SO!E76</f>
        <v>Spare 7</v>
      </c>
      <c r="F677" s="150"/>
      <c r="G677" s="43" t="str">
        <f t="shared" si="104"/>
        <v>£m 23/24 prices</v>
      </c>
      <c r="H677" s="48"/>
      <c r="I677" s="43"/>
      <c r="J677" s="43"/>
      <c r="K677" s="43"/>
      <c r="L677" s="43"/>
      <c r="M677" s="43"/>
      <c r="N677" s="43"/>
      <c r="O677" s="43"/>
      <c r="P677" s="43"/>
      <c r="Q677" s="43"/>
      <c r="R677" s="43"/>
      <c r="S677" s="43"/>
      <c r="T677" s="43"/>
      <c r="U677" s="43"/>
      <c r="V677" s="43"/>
      <c r="W677" s="43"/>
      <c r="X677" s="43"/>
      <c r="Y677" s="43"/>
      <c r="Z677" s="43"/>
      <c r="AA677" s="43"/>
      <c r="AB677" s="43"/>
      <c r="AC677" s="43"/>
      <c r="AD677" s="43"/>
      <c r="AE677" s="43"/>
      <c r="AF677" s="43"/>
      <c r="AG677" s="43"/>
      <c r="AH677" s="43"/>
      <c r="AI677" s="43"/>
      <c r="AJ677" s="43"/>
      <c r="AK677" s="43"/>
      <c r="AL677" s="43"/>
      <c r="AM677" s="43"/>
      <c r="AN677" s="43"/>
      <c r="AO677" s="43"/>
      <c r="AP677" s="43"/>
      <c r="AQ677" s="43"/>
      <c r="AR677" s="43"/>
      <c r="AS677" s="43"/>
      <c r="AT677" s="76"/>
      <c r="AU677" s="174">
        <f>NGT_SO!AU76</f>
        <v>0</v>
      </c>
      <c r="AV677" s="50">
        <f>NGT_SO!AV76</f>
        <v>0</v>
      </c>
      <c r="AW677" s="50">
        <f>NGT_SO!AW76</f>
        <v>0</v>
      </c>
      <c r="AX677" s="50">
        <f>NGT_SO!AX76</f>
        <v>0</v>
      </c>
      <c r="AY677" s="50">
        <f>NGT_SO!AY76</f>
        <v>0</v>
      </c>
      <c r="AZ677" s="44"/>
      <c r="BA677" s="44" t="str">
        <f ca="1">$A$1</f>
        <v>VariantAllowances</v>
      </c>
      <c r="BB677" s="44" t="str">
        <f t="shared" si="107"/>
        <v>SO variant allowances</v>
      </c>
      <c r="BC677" s="44" t="str">
        <f>$B$661</f>
        <v>Variant allowances</v>
      </c>
    </row>
    <row r="678" spans="2:55">
      <c r="AZ678" s="44"/>
      <c r="BA678" s="1"/>
    </row>
    <row r="679" spans="2:55" s="9" customFormat="1" ht="17.5" thickBot="1">
      <c r="B679" s="11" t="s">
        <v>59</v>
      </c>
      <c r="C679"/>
      <c r="D679"/>
      <c r="E679" s="43"/>
      <c r="F679" s="150"/>
      <c r="G679" s="43"/>
      <c r="H679" s="43"/>
      <c r="I679" s="43"/>
      <c r="J679" s="43"/>
      <c r="K679" s="43"/>
      <c r="L679" s="43"/>
      <c r="M679" s="43"/>
      <c r="N679" s="43"/>
      <c r="O679" s="43"/>
      <c r="P679" s="43"/>
      <c r="Q679" s="43"/>
      <c r="R679" s="43"/>
      <c r="S679" s="43"/>
      <c r="T679" s="43"/>
      <c r="U679" s="43"/>
      <c r="V679" s="43"/>
      <c r="W679" s="43"/>
      <c r="X679" s="43"/>
      <c r="Y679" s="43"/>
      <c r="Z679" s="43"/>
      <c r="AA679" s="43"/>
      <c r="AB679" s="43"/>
      <c r="AC679" s="43"/>
      <c r="AD679" s="43"/>
      <c r="AE679" s="43"/>
      <c r="AF679" s="43"/>
      <c r="AG679" s="43"/>
      <c r="AH679" s="43"/>
      <c r="AI679" s="43"/>
      <c r="AJ679" s="43"/>
      <c r="AK679" s="43"/>
      <c r="AL679" s="43"/>
      <c r="AM679" s="43"/>
      <c r="AN679" s="43"/>
      <c r="AO679" s="43"/>
      <c r="AP679" s="43"/>
      <c r="AQ679" s="43"/>
      <c r="AR679" s="43"/>
      <c r="AS679" s="43"/>
      <c r="AT679" s="76"/>
      <c r="AU679" t="str">
        <f>NGT_SO!AU80</f>
        <v>TIM applies</v>
      </c>
      <c r="AV679" t="str">
        <f>NGT_SO!AV80</f>
        <v>RPE applies</v>
      </c>
      <c r="AW679" t="str">
        <f>NGT_SO!AW80</f>
        <v>PCD/UM</v>
      </c>
      <c r="AX679" s="43"/>
      <c r="AY679" s="43"/>
      <c r="AZ679" s="44"/>
      <c r="BA679" s="44"/>
      <c r="BB679" s="44"/>
      <c r="BC679" s="44"/>
    </row>
    <row r="680" spans="2:55" s="9" customFormat="1" ht="16.5" thickTop="1">
      <c r="B680" s="8"/>
      <c r="C680"/>
      <c r="D680"/>
      <c r="E680" s="43" t="str">
        <f>NGT_SO!E81</f>
        <v>Cyber resilience term Price Control Deliverable</v>
      </c>
      <c r="F680" s="150" t="str">
        <f>NGT_SO!F81</f>
        <v>SpC 3.2</v>
      </c>
      <c r="G680" s="43" t="s">
        <v>148</v>
      </c>
      <c r="H680" s="48" t="s">
        <v>872</v>
      </c>
      <c r="I680" s="43"/>
      <c r="J680" s="43"/>
      <c r="K680" s="43"/>
      <c r="L680" s="43"/>
      <c r="M680" s="43"/>
      <c r="N680" s="43"/>
      <c r="O680" s="43"/>
      <c r="P680" s="43"/>
      <c r="Q680" s="43"/>
      <c r="R680" s="43"/>
      <c r="S680" s="43"/>
      <c r="T680" s="43"/>
      <c r="U680" s="43"/>
      <c r="V680" s="43"/>
      <c r="W680" s="43"/>
      <c r="X680" s="43"/>
      <c r="Y680" s="43"/>
      <c r="Z680" s="43"/>
      <c r="AA680" s="43"/>
      <c r="AB680" s="43"/>
      <c r="AC680" s="43"/>
      <c r="AD680" s="43"/>
      <c r="AE680" s="43"/>
      <c r="AF680" s="43"/>
      <c r="AG680" s="43"/>
      <c r="AH680" s="43"/>
      <c r="AI680" s="43"/>
      <c r="AJ680" s="43"/>
      <c r="AK680" s="43"/>
      <c r="AL680" s="43"/>
      <c r="AM680" s="43"/>
      <c r="AN680" s="43"/>
      <c r="AO680" s="43"/>
      <c r="AP680" s="43"/>
      <c r="AQ680" s="43"/>
      <c r="AR680" s="43"/>
      <c r="AS680" s="43"/>
      <c r="AT680" s="76"/>
      <c r="AU680" s="174" t="b">
        <f>NGT_SO!AU81</f>
        <v>1</v>
      </c>
      <c r="AV680" s="50" t="b">
        <f>NGT_SO!AV81</f>
        <v>1</v>
      </c>
      <c r="AW680" s="50" t="str">
        <f>NGT_SO!AW81</f>
        <v>PCD</v>
      </c>
      <c r="AX680"/>
      <c r="AY680" s="54">
        <f t="shared" ref="AY680:AY681" si="108">IF(AND(AW680="PCD",AV680=TRUE),1,IF(AND(AW680="UM",AV680=TRUE),2,IF(AND(AW680="PCD",AV680=FALSE),1.5,IF(AND(AW680="UM",AV680=FALSE),2.5,0))))</f>
        <v>1</v>
      </c>
      <c r="AZ680" s="44"/>
      <c r="BA680" s="44" t="str">
        <f t="shared" ref="BA680:BA690" ca="1" si="109">$A$1</f>
        <v>VariantAllowances</v>
      </c>
      <c r="BB680" s="44" t="str">
        <f t="shared" ref="BB680:BB695" si="110">$A$660</f>
        <v>SO variant allowances</v>
      </c>
      <c r="BC680" s="44" t="str">
        <f t="shared" ref="BC680:BC695" si="111">$B$679</f>
        <v>Variant attributes</v>
      </c>
    </row>
    <row r="681" spans="2:55" s="9" customFormat="1">
      <c r="B681" s="8"/>
      <c r="C681"/>
      <c r="D681"/>
      <c r="E681" s="43" t="str">
        <f>NGT_SO!E82</f>
        <v>Cyber resilience Re-Opener</v>
      </c>
      <c r="F681" s="150" t="str">
        <f>NGT_SO!F82</f>
        <v>SpC 3.2</v>
      </c>
      <c r="G681" s="43" t="s">
        <v>148</v>
      </c>
      <c r="H681" s="48" t="s">
        <v>873</v>
      </c>
      <c r="I681" s="43"/>
      <c r="J681" s="43"/>
      <c r="K681" s="43"/>
      <c r="L681" s="43"/>
      <c r="M681" s="43"/>
      <c r="N681" s="43"/>
      <c r="O681" s="43"/>
      <c r="P681" s="43"/>
      <c r="Q681" s="43"/>
      <c r="R681" s="43"/>
      <c r="S681" s="43"/>
      <c r="T681" s="43"/>
      <c r="U681" s="43"/>
      <c r="V681" s="43"/>
      <c r="W681" s="43"/>
      <c r="X681" s="43"/>
      <c r="Y681" s="43"/>
      <c r="Z681" s="43"/>
      <c r="AA681" s="43"/>
      <c r="AB681" s="43"/>
      <c r="AC681" s="43"/>
      <c r="AD681" s="43"/>
      <c r="AE681" s="43"/>
      <c r="AF681" s="43"/>
      <c r="AG681" s="43"/>
      <c r="AH681" s="43"/>
      <c r="AI681" s="43"/>
      <c r="AJ681" s="43"/>
      <c r="AK681" s="43"/>
      <c r="AL681" s="43"/>
      <c r="AM681" s="43"/>
      <c r="AN681" s="43"/>
      <c r="AO681" s="43"/>
      <c r="AP681" s="43"/>
      <c r="AQ681" s="43"/>
      <c r="AR681" s="43"/>
      <c r="AS681" s="43"/>
      <c r="AT681" s="76"/>
      <c r="AU681" s="174" t="b">
        <f>NGT_SO!AU82</f>
        <v>1</v>
      </c>
      <c r="AV681" s="50" t="b">
        <f>NGT_SO!AV82</f>
        <v>0</v>
      </c>
      <c r="AW681" s="50" t="str">
        <f>NGT_SO!AW82</f>
        <v>UM</v>
      </c>
      <c r="AX681"/>
      <c r="AY681" s="54">
        <f t="shared" si="108"/>
        <v>2.5</v>
      </c>
      <c r="AZ681" s="44"/>
      <c r="BA681" s="44" t="str">
        <f t="shared" ca="1" si="109"/>
        <v>VariantAllowances</v>
      </c>
      <c r="BB681" s="44" t="str">
        <f t="shared" si="110"/>
        <v>SO variant allowances</v>
      </c>
      <c r="BC681" s="44" t="str">
        <f t="shared" si="111"/>
        <v>Variant attributes</v>
      </c>
    </row>
    <row r="682" spans="2:55" s="9" customFormat="1">
      <c r="B682" s="8"/>
      <c r="C682"/>
      <c r="D682"/>
      <c r="E682" s="43" t="str">
        <f>NGT_SO!E83</f>
        <v>Cyber Use it or lose it allowance</v>
      </c>
      <c r="F682" s="150" t="str">
        <f>NGT_SO!F83</f>
        <v>SpC
3.2</v>
      </c>
      <c r="G682" s="43" t="s">
        <v>148</v>
      </c>
      <c r="H682" s="48" t="s">
        <v>874</v>
      </c>
      <c r="I682" s="43"/>
      <c r="J682" s="43"/>
      <c r="K682" s="43"/>
      <c r="L682" s="43"/>
      <c r="M682" s="43"/>
      <c r="N682" s="43"/>
      <c r="O682" s="43"/>
      <c r="P682" s="43"/>
      <c r="Q682" s="43"/>
      <c r="R682" s="43"/>
      <c r="S682" s="43"/>
      <c r="T682" s="43"/>
      <c r="U682" s="43"/>
      <c r="V682" s="43"/>
      <c r="W682" s="43"/>
      <c r="X682" s="43"/>
      <c r="Y682" s="43"/>
      <c r="Z682" s="43"/>
      <c r="AA682" s="43"/>
      <c r="AB682" s="43"/>
      <c r="AC682" s="43"/>
      <c r="AD682" s="43"/>
      <c r="AE682" s="43"/>
      <c r="AF682" s="43"/>
      <c r="AG682" s="43"/>
      <c r="AH682" s="43"/>
      <c r="AI682" s="43"/>
      <c r="AJ682" s="43"/>
      <c r="AK682" s="43"/>
      <c r="AL682" s="43"/>
      <c r="AM682" s="43"/>
      <c r="AN682" s="43"/>
      <c r="AO682" s="43"/>
      <c r="AP682" s="43"/>
      <c r="AQ682" s="43"/>
      <c r="AR682" s="43"/>
      <c r="AS682" s="43"/>
      <c r="AT682" s="76"/>
      <c r="AU682" s="174" t="b">
        <f>NGT_SO!AU83</f>
        <v>0</v>
      </c>
      <c r="AV682" s="50" t="b">
        <f>NGT_SO!AV83</f>
        <v>0</v>
      </c>
      <c r="AW682" s="50" t="str">
        <f>NGT_SO!AW83</f>
        <v>PCD</v>
      </c>
      <c r="AX682"/>
      <c r="AY682" s="54">
        <f>IF(AND(AW682="PCD",AV682=TRUE),1,IF(AND(AW682="UM",AV682=TRUE),2,IF(AND(AW682="PCD",AV682=FALSE),1.5,IF(AND(AW682="UM",AV682=FALSE),2.5,0))))</f>
        <v>1.5</v>
      </c>
      <c r="AZ682" s="44"/>
      <c r="BA682" s="44" t="str">
        <f t="shared" ca="1" si="109"/>
        <v>VariantAllowances</v>
      </c>
      <c r="BB682" s="44" t="str">
        <f t="shared" si="110"/>
        <v>SO variant allowances</v>
      </c>
      <c r="BC682" s="44" t="str">
        <f t="shared" si="111"/>
        <v>Variant attributes</v>
      </c>
    </row>
    <row r="683" spans="2:55" s="9" customFormat="1">
      <c r="B683" s="8"/>
      <c r="C683"/>
      <c r="D683"/>
      <c r="E683" s="43" t="str">
        <f>NGT_SO!E84</f>
        <v>Decarbonisation and Environmental Policy Re-opener</v>
      </c>
      <c r="F683" s="150" t="str">
        <f>NGT_SO!F84</f>
        <v>SpC 3.6</v>
      </c>
      <c r="G683" s="43" t="s">
        <v>148</v>
      </c>
      <c r="H683" s="48" t="s">
        <v>772</v>
      </c>
      <c r="I683" s="43"/>
      <c r="J683" s="43"/>
      <c r="K683" s="43"/>
      <c r="L683" s="43"/>
      <c r="M683" s="43"/>
      <c r="N683" s="43"/>
      <c r="O683" s="43"/>
      <c r="P683" s="43"/>
      <c r="Q683" s="43"/>
      <c r="R683" s="43"/>
      <c r="S683" s="43"/>
      <c r="T683" s="43"/>
      <c r="U683" s="43"/>
      <c r="V683" s="43"/>
      <c r="W683" s="43"/>
      <c r="X683" s="43"/>
      <c r="Y683" s="43"/>
      <c r="Z683" s="43"/>
      <c r="AA683" s="43"/>
      <c r="AB683" s="43"/>
      <c r="AC683" s="43"/>
      <c r="AD683" s="43"/>
      <c r="AE683" s="43"/>
      <c r="AF683" s="43"/>
      <c r="AG683" s="43"/>
      <c r="AH683" s="43"/>
      <c r="AI683" s="43"/>
      <c r="AJ683" s="43"/>
      <c r="AK683" s="43"/>
      <c r="AL683" s="43"/>
      <c r="AM683" s="43"/>
      <c r="AN683" s="43"/>
      <c r="AO683" s="43"/>
      <c r="AP683" s="43"/>
      <c r="AQ683" s="43"/>
      <c r="AR683" s="43"/>
      <c r="AS683" s="43"/>
      <c r="AT683" s="76"/>
      <c r="AU683" s="174" t="b">
        <f>NGT_SO!AU84</f>
        <v>1</v>
      </c>
      <c r="AV683" s="50" t="b">
        <f>NGT_SO!AV84</f>
        <v>0</v>
      </c>
      <c r="AW683" s="50" t="str">
        <f>NGT_SO!AW84</f>
        <v>UM</v>
      </c>
      <c r="AX683"/>
      <c r="AY683" s="54">
        <f t="shared" ref="AY683:AY695" si="112">IF(AND(AW683="PCD",AV683=TRUE),1,IF(AND(AW683="UM",AV683=TRUE),2,IF(AND(AW683="PCD",AV683=FALSE),1.5,IF(AND(AW683="UM",AV683=FALSE),2.5,0))))</f>
        <v>2.5</v>
      </c>
      <c r="AZ683" s="44"/>
      <c r="BA683" s="44" t="str">
        <f t="shared" ca="1" si="109"/>
        <v>VariantAllowances</v>
      </c>
      <c r="BB683" s="44" t="str">
        <f t="shared" si="110"/>
        <v>SO variant allowances</v>
      </c>
      <c r="BC683" s="44" t="str">
        <f t="shared" si="111"/>
        <v>Variant attributes</v>
      </c>
    </row>
    <row r="684" spans="2:55" s="9" customFormat="1">
      <c r="B684" s="8"/>
      <c r="C684"/>
      <c r="D684"/>
      <c r="E684" s="43" t="str">
        <f>NGT_SO!E85</f>
        <v>Digitalisation Re-opener</v>
      </c>
      <c r="F684" s="150" t="str">
        <f>NGT_SO!F85</f>
        <v>SpC 3.7</v>
      </c>
      <c r="G684" s="43" t="s">
        <v>148</v>
      </c>
      <c r="H684" s="48" t="s">
        <v>875</v>
      </c>
      <c r="I684" s="43"/>
      <c r="J684" s="43"/>
      <c r="K684" s="43"/>
      <c r="L684" s="43"/>
      <c r="M684" s="43"/>
      <c r="N684" s="43"/>
      <c r="O684" s="43"/>
      <c r="P684" s="43"/>
      <c r="Q684" s="43"/>
      <c r="R684" s="43"/>
      <c r="S684" s="43"/>
      <c r="T684" s="43"/>
      <c r="U684" s="43"/>
      <c r="V684" s="43"/>
      <c r="W684" s="43"/>
      <c r="X684" s="43"/>
      <c r="Y684" s="43"/>
      <c r="Z684" s="43"/>
      <c r="AA684" s="43"/>
      <c r="AB684" s="43"/>
      <c r="AC684" s="43"/>
      <c r="AD684" s="43"/>
      <c r="AE684" s="43"/>
      <c r="AF684" s="43"/>
      <c r="AG684" s="43"/>
      <c r="AH684" s="43"/>
      <c r="AI684" s="43"/>
      <c r="AJ684" s="43"/>
      <c r="AK684" s="43"/>
      <c r="AL684" s="43"/>
      <c r="AM684" s="43"/>
      <c r="AN684" s="43"/>
      <c r="AO684" s="43"/>
      <c r="AP684" s="43"/>
      <c r="AQ684" s="43"/>
      <c r="AR684" s="43"/>
      <c r="AS684" s="43"/>
      <c r="AT684" s="76"/>
      <c r="AU684" s="174" t="b">
        <f>NGT_SO!AU85</f>
        <v>1</v>
      </c>
      <c r="AV684" s="50" t="b">
        <f>NGT_SO!AV85</f>
        <v>0</v>
      </c>
      <c r="AW684" s="50" t="str">
        <f>NGT_SO!AW85</f>
        <v>UM</v>
      </c>
      <c r="AX684"/>
      <c r="AY684" s="54">
        <f t="shared" si="112"/>
        <v>2.5</v>
      </c>
      <c r="AZ684" s="44"/>
      <c r="BA684" s="44" t="str">
        <f t="shared" ca="1" si="109"/>
        <v>VariantAllowances</v>
      </c>
      <c r="BB684" s="44" t="str">
        <f t="shared" si="110"/>
        <v>SO variant allowances</v>
      </c>
      <c r="BC684" s="44" t="str">
        <f t="shared" si="111"/>
        <v>Variant attributes</v>
      </c>
    </row>
    <row r="685" spans="2:55" s="9" customFormat="1">
      <c r="B685" s="8"/>
      <c r="C685"/>
      <c r="D685"/>
      <c r="E685" s="43" t="str">
        <f>NGT_SO!E86</f>
        <v>Funded Incremental Obligated Capacity Price Control Deliverable</v>
      </c>
      <c r="F685" s="150" t="str">
        <f>NGT_SO!F86</f>
        <v>SpC 3.11</v>
      </c>
      <c r="G685" s="43" t="s">
        <v>148</v>
      </c>
      <c r="H685" s="48" t="s">
        <v>262</v>
      </c>
      <c r="I685" s="43"/>
      <c r="J685" s="43"/>
      <c r="K685" s="43"/>
      <c r="L685" s="43"/>
      <c r="M685" s="43"/>
      <c r="N685" s="43"/>
      <c r="O685" s="43"/>
      <c r="P685" s="43"/>
      <c r="Q685" s="43"/>
      <c r="R685" s="43"/>
      <c r="S685" s="43"/>
      <c r="T685" s="43"/>
      <c r="U685" s="43"/>
      <c r="V685" s="43"/>
      <c r="W685" s="43"/>
      <c r="X685" s="43"/>
      <c r="Y685" s="43"/>
      <c r="Z685" s="43"/>
      <c r="AA685" s="43"/>
      <c r="AB685" s="43"/>
      <c r="AC685" s="43"/>
      <c r="AD685" s="43"/>
      <c r="AE685" s="43"/>
      <c r="AF685" s="43"/>
      <c r="AG685" s="43"/>
      <c r="AH685" s="43"/>
      <c r="AI685" s="43"/>
      <c r="AJ685" s="43"/>
      <c r="AK685" s="43"/>
      <c r="AL685" s="43"/>
      <c r="AM685" s="43"/>
      <c r="AN685" s="43"/>
      <c r="AO685" s="43"/>
      <c r="AP685" s="43"/>
      <c r="AQ685" s="43"/>
      <c r="AR685" s="43"/>
      <c r="AS685" s="43"/>
      <c r="AT685" s="76"/>
      <c r="AU685" s="174" t="b">
        <f>NGT_SO!AU86</f>
        <v>1</v>
      </c>
      <c r="AV685" s="50" t="b">
        <f>NGT_SO!AV86</f>
        <v>1</v>
      </c>
      <c r="AW685" s="50" t="str">
        <f>NGT_SO!AW86</f>
        <v>PCD</v>
      </c>
      <c r="AX685"/>
      <c r="AY685" s="54">
        <f t="shared" si="112"/>
        <v>1</v>
      </c>
      <c r="AZ685" s="44"/>
      <c r="BA685" s="44" t="str">
        <f t="shared" ca="1" si="109"/>
        <v>VariantAllowances</v>
      </c>
      <c r="BB685" s="44" t="str">
        <f t="shared" si="110"/>
        <v>SO variant allowances</v>
      </c>
      <c r="BC685" s="44" t="str">
        <f t="shared" si="111"/>
        <v>Variant attributes</v>
      </c>
    </row>
    <row r="686" spans="2:55" s="9" customFormat="1">
      <c r="B686" s="8"/>
      <c r="C686"/>
      <c r="D686"/>
      <c r="E686" s="43" t="str">
        <f>NGT_SO!E87</f>
        <v>Funded Incremental Obligated Capacity Price Control Deliverable -Re-Opener Element</v>
      </c>
      <c r="F686" s="150" t="str">
        <f>NGT_SO!F87</f>
        <v>SpC 3.11</v>
      </c>
      <c r="G686" s="43" t="s">
        <v>148</v>
      </c>
      <c r="H686" s="48" t="s">
        <v>263</v>
      </c>
      <c r="I686" s="43"/>
      <c r="J686" s="43"/>
      <c r="K686" s="43"/>
      <c r="L686" s="43"/>
      <c r="M686" s="43"/>
      <c r="N686" s="43"/>
      <c r="O686" s="43"/>
      <c r="P686" s="43"/>
      <c r="Q686" s="43"/>
      <c r="R686" s="43"/>
      <c r="S686" s="43"/>
      <c r="T686" s="43"/>
      <c r="U686" s="43"/>
      <c r="V686" s="43"/>
      <c r="W686" s="43"/>
      <c r="X686" s="43"/>
      <c r="Y686" s="43"/>
      <c r="Z686" s="43"/>
      <c r="AA686" s="43"/>
      <c r="AB686" s="43"/>
      <c r="AC686" s="43"/>
      <c r="AD686" s="43"/>
      <c r="AE686" s="43"/>
      <c r="AF686" s="43"/>
      <c r="AG686" s="43"/>
      <c r="AH686" s="43"/>
      <c r="AI686" s="43"/>
      <c r="AJ686" s="43"/>
      <c r="AK686" s="43"/>
      <c r="AL686" s="43"/>
      <c r="AM686" s="43"/>
      <c r="AN686" s="43"/>
      <c r="AO686" s="43"/>
      <c r="AP686" s="43"/>
      <c r="AQ686" s="43"/>
      <c r="AR686" s="43"/>
      <c r="AS686" s="43"/>
      <c r="AT686" s="76"/>
      <c r="AU686" s="174" t="b">
        <f>NGT_SO!AU87</f>
        <v>1</v>
      </c>
      <c r="AV686" s="50" t="b">
        <f>NGT_SO!AV87</f>
        <v>1</v>
      </c>
      <c r="AW686" s="50" t="str">
        <f>NGT_SO!AW87</f>
        <v>UM</v>
      </c>
      <c r="AX686"/>
      <c r="AY686" s="54">
        <f t="shared" si="112"/>
        <v>2</v>
      </c>
      <c r="AZ686" s="44"/>
      <c r="BA686" s="44" t="str">
        <f t="shared" ca="1" si="109"/>
        <v>VariantAllowances</v>
      </c>
      <c r="BB686" s="44" t="str">
        <f t="shared" si="110"/>
        <v>SO variant allowances</v>
      </c>
      <c r="BC686" s="44" t="str">
        <f t="shared" si="111"/>
        <v>Variant attributes</v>
      </c>
    </row>
    <row r="687" spans="2:55" s="9" customFormat="1">
      <c r="B687" s="8"/>
      <c r="C687"/>
      <c r="D687"/>
      <c r="E687" s="43" t="str">
        <f>NGT_SO!E88</f>
        <v xml:space="preserve">Office, gas national control centre and emergency control room relocation Re-opener </v>
      </c>
      <c r="F687" s="150" t="str">
        <f>NGT_SO!F88</f>
        <v>SpC 3.20</v>
      </c>
      <c r="G687" s="43" t="s">
        <v>148</v>
      </c>
      <c r="H687" s="48" t="s">
        <v>876</v>
      </c>
      <c r="I687" s="43"/>
      <c r="J687" s="43"/>
      <c r="K687" s="43"/>
      <c r="L687" s="43"/>
      <c r="M687" s="43"/>
      <c r="N687" s="43"/>
      <c r="O687" s="43"/>
      <c r="P687" s="43"/>
      <c r="Q687" s="43"/>
      <c r="R687" s="43"/>
      <c r="S687" s="43"/>
      <c r="T687" s="43"/>
      <c r="U687" s="43"/>
      <c r="V687" s="43"/>
      <c r="W687" s="43"/>
      <c r="X687" s="43"/>
      <c r="Y687" s="43"/>
      <c r="Z687" s="43"/>
      <c r="AA687" s="43"/>
      <c r="AB687" s="43"/>
      <c r="AC687" s="43"/>
      <c r="AD687" s="43"/>
      <c r="AE687" s="43"/>
      <c r="AF687" s="43"/>
      <c r="AG687" s="43"/>
      <c r="AH687" s="43"/>
      <c r="AI687" s="43"/>
      <c r="AJ687" s="43"/>
      <c r="AK687" s="43"/>
      <c r="AL687" s="43"/>
      <c r="AM687" s="43"/>
      <c r="AN687" s="43"/>
      <c r="AO687" s="43"/>
      <c r="AP687" s="43"/>
      <c r="AQ687" s="43"/>
      <c r="AR687" s="43"/>
      <c r="AS687" s="43"/>
      <c r="AT687" s="76"/>
      <c r="AU687" s="174" t="b">
        <f>NGT_SO!AU88</f>
        <v>1</v>
      </c>
      <c r="AV687" s="50" t="b">
        <f>NGT_SO!AV88</f>
        <v>0</v>
      </c>
      <c r="AW687" s="50" t="str">
        <f>NGT_SO!AW88</f>
        <v>UM</v>
      </c>
      <c r="AX687"/>
      <c r="AY687" s="54">
        <f t="shared" si="112"/>
        <v>2.5</v>
      </c>
      <c r="AZ687" s="44"/>
      <c r="BA687" s="44" t="str">
        <f t="shared" ca="1" si="109"/>
        <v>VariantAllowances</v>
      </c>
      <c r="BB687" s="44" t="str">
        <f t="shared" si="110"/>
        <v>SO variant allowances</v>
      </c>
      <c r="BC687" s="44" t="str">
        <f t="shared" si="111"/>
        <v>Variant attributes</v>
      </c>
    </row>
    <row r="688" spans="2:55" s="9" customFormat="1">
      <c r="B688" s="8"/>
      <c r="C688"/>
      <c r="D688"/>
      <c r="E688" s="43" t="str">
        <f>NGT_SO!E89</f>
        <v>Network decarbonisation and emissions compliance Re-opener</v>
      </c>
      <c r="F688" s="150" t="str">
        <f>NGT_SO!F89</f>
        <v>SpC 3.23</v>
      </c>
      <c r="G688" s="43" t="s">
        <v>148</v>
      </c>
      <c r="H688" s="48" t="s">
        <v>877</v>
      </c>
      <c r="I688" s="43"/>
      <c r="J688" s="43"/>
      <c r="K688" s="43"/>
      <c r="L688" s="43"/>
      <c r="M688" s="43"/>
      <c r="N688" s="43"/>
      <c r="O688" s="43"/>
      <c r="P688" s="43"/>
      <c r="Q688" s="43"/>
      <c r="R688" s="43"/>
      <c r="S688" s="43"/>
      <c r="T688" s="43"/>
      <c r="U688" s="43"/>
      <c r="V688" s="43"/>
      <c r="W688" s="43"/>
      <c r="X688" s="43"/>
      <c r="Y688" s="43"/>
      <c r="Z688" s="43"/>
      <c r="AA688" s="43"/>
      <c r="AB688" s="43"/>
      <c r="AC688" s="43"/>
      <c r="AD688" s="43"/>
      <c r="AE688" s="43"/>
      <c r="AF688" s="43"/>
      <c r="AG688" s="43"/>
      <c r="AH688" s="43"/>
      <c r="AI688" s="43"/>
      <c r="AJ688" s="43"/>
      <c r="AK688" s="43"/>
      <c r="AL688" s="43"/>
      <c r="AM688" s="43"/>
      <c r="AN688" s="43"/>
      <c r="AO688" s="43"/>
      <c r="AP688" s="43"/>
      <c r="AQ688" s="43"/>
      <c r="AR688" s="43"/>
      <c r="AS688" s="43"/>
      <c r="AT688" s="76"/>
      <c r="AU688" s="174" t="b">
        <f>NGT_SO!AU89</f>
        <v>1</v>
      </c>
      <c r="AV688" s="50" t="b">
        <f>NGT_SO!AV89</f>
        <v>0</v>
      </c>
      <c r="AW688" s="50" t="str">
        <f>NGT_SO!AW89</f>
        <v>UM</v>
      </c>
      <c r="AX688"/>
      <c r="AY688" s="54">
        <f t="shared" si="112"/>
        <v>2.5</v>
      </c>
      <c r="AZ688" s="44"/>
      <c r="BA688" s="44" t="str">
        <f t="shared" ca="1" si="109"/>
        <v>VariantAllowances</v>
      </c>
      <c r="BB688" s="44" t="str">
        <f t="shared" si="110"/>
        <v>SO variant allowances</v>
      </c>
      <c r="BC688" s="44" t="str">
        <f t="shared" si="111"/>
        <v>Variant attributes</v>
      </c>
    </row>
    <row r="689" spans="2:55" s="9" customFormat="1">
      <c r="B689" s="8"/>
      <c r="C689"/>
      <c r="D689"/>
      <c r="E689" s="43" t="str">
        <f>NGT_SO!E90</f>
        <v>Spare 1</v>
      </c>
      <c r="F689" s="150"/>
      <c r="G689" s="43" t="s">
        <v>148</v>
      </c>
      <c r="H689" s="48"/>
      <c r="I689" s="43"/>
      <c r="J689" s="43"/>
      <c r="K689" s="43"/>
      <c r="L689" s="43"/>
      <c r="M689" s="43"/>
      <c r="N689" s="43"/>
      <c r="O689" s="43"/>
      <c r="P689" s="43"/>
      <c r="Q689" s="43"/>
      <c r="R689" s="43"/>
      <c r="S689" s="43"/>
      <c r="T689" s="43"/>
      <c r="U689" s="43"/>
      <c r="V689" s="43"/>
      <c r="W689" s="43"/>
      <c r="X689" s="43"/>
      <c r="Y689" s="43"/>
      <c r="Z689" s="43"/>
      <c r="AA689" s="43"/>
      <c r="AB689" s="43"/>
      <c r="AC689" s="43"/>
      <c r="AD689" s="43"/>
      <c r="AE689" s="43"/>
      <c r="AF689" s="43"/>
      <c r="AG689" s="43"/>
      <c r="AH689" s="43"/>
      <c r="AI689" s="43"/>
      <c r="AJ689" s="43"/>
      <c r="AK689" s="43"/>
      <c r="AL689" s="43"/>
      <c r="AM689" s="43"/>
      <c r="AN689" s="43"/>
      <c r="AO689" s="43"/>
      <c r="AP689" s="43"/>
      <c r="AQ689" s="43"/>
      <c r="AR689" s="43"/>
      <c r="AS689" s="43"/>
      <c r="AT689" s="76"/>
      <c r="AU689" s="174">
        <f>NGT_SO!AU90</f>
        <v>0</v>
      </c>
      <c r="AV689" s="50">
        <f>NGT_SO!AV90</f>
        <v>0</v>
      </c>
      <c r="AW689" s="50">
        <f>NGT_SO!AW90</f>
        <v>0</v>
      </c>
      <c r="AX689"/>
      <c r="AY689" s="54">
        <f t="shared" si="112"/>
        <v>0</v>
      </c>
      <c r="AZ689" s="44"/>
      <c r="BA689" s="44" t="str">
        <f t="shared" ca="1" si="109"/>
        <v>VariantAllowances</v>
      </c>
      <c r="BB689" s="44" t="str">
        <f t="shared" si="110"/>
        <v>SO variant allowances</v>
      </c>
      <c r="BC689" s="44" t="str">
        <f t="shared" si="111"/>
        <v>Variant attributes</v>
      </c>
    </row>
    <row r="690" spans="2:55" s="9" customFormat="1">
      <c r="B690" s="8"/>
      <c r="C690"/>
      <c r="D690"/>
      <c r="E690" s="43" t="str">
        <f>NGT_SO!E91</f>
        <v>Spare 2</v>
      </c>
      <c r="F690" s="150"/>
      <c r="G690" s="43" t="s">
        <v>148</v>
      </c>
      <c r="H690" s="48"/>
      <c r="I690" s="43"/>
      <c r="J690" s="43"/>
      <c r="K690" s="43"/>
      <c r="L690" s="43"/>
      <c r="M690" s="43"/>
      <c r="N690" s="43"/>
      <c r="O690" s="43"/>
      <c r="P690" s="43"/>
      <c r="Q690" s="43"/>
      <c r="R690" s="43"/>
      <c r="S690" s="43"/>
      <c r="T690" s="43"/>
      <c r="U690" s="43"/>
      <c r="V690" s="43"/>
      <c r="W690" s="43"/>
      <c r="X690" s="43"/>
      <c r="Y690" s="43"/>
      <c r="Z690" s="43"/>
      <c r="AA690" s="43"/>
      <c r="AB690" s="43"/>
      <c r="AC690" s="43"/>
      <c r="AD690" s="43"/>
      <c r="AE690" s="43"/>
      <c r="AF690" s="43"/>
      <c r="AG690" s="43"/>
      <c r="AH690" s="43"/>
      <c r="AI690" s="43"/>
      <c r="AJ690" s="43"/>
      <c r="AK690" s="43"/>
      <c r="AL690" s="43"/>
      <c r="AM690" s="43"/>
      <c r="AN690" s="43"/>
      <c r="AO690" s="43"/>
      <c r="AP690" s="43"/>
      <c r="AQ690" s="43"/>
      <c r="AR690" s="43"/>
      <c r="AS690" s="43"/>
      <c r="AT690" s="76"/>
      <c r="AU690" s="174">
        <f>NGT_SO!AU91</f>
        <v>0</v>
      </c>
      <c r="AV690" s="50">
        <f>NGT_SO!AV91</f>
        <v>0</v>
      </c>
      <c r="AW690" s="50">
        <f>NGT_SO!AW91</f>
        <v>0</v>
      </c>
      <c r="AX690"/>
      <c r="AY690" s="54">
        <f t="shared" si="112"/>
        <v>0</v>
      </c>
      <c r="AZ690" s="44"/>
      <c r="BA690" s="44" t="str">
        <f t="shared" ca="1" si="109"/>
        <v>VariantAllowances</v>
      </c>
      <c r="BB690" s="44" t="str">
        <f t="shared" si="110"/>
        <v>SO variant allowances</v>
      </c>
      <c r="BC690" s="44" t="str">
        <f t="shared" si="111"/>
        <v>Variant attributes</v>
      </c>
    </row>
    <row r="691" spans="2:55" s="9" customFormat="1">
      <c r="B691" s="8"/>
      <c r="C691"/>
      <c r="D691"/>
      <c r="E691" s="43" t="str">
        <f>NGT_SO!E92</f>
        <v>Spare 3</v>
      </c>
      <c r="F691" s="150"/>
      <c r="G691" s="43" t="s">
        <v>148</v>
      </c>
      <c r="H691" s="48"/>
      <c r="I691" s="43"/>
      <c r="J691" s="43"/>
      <c r="K691" s="43"/>
      <c r="L691" s="43"/>
      <c r="M691" s="43"/>
      <c r="N691" s="43"/>
      <c r="O691" s="43"/>
      <c r="P691" s="43"/>
      <c r="Q691" s="43"/>
      <c r="R691" s="43"/>
      <c r="S691" s="43"/>
      <c r="T691" s="43"/>
      <c r="U691" s="43"/>
      <c r="V691" s="43"/>
      <c r="W691" s="43"/>
      <c r="X691" s="43"/>
      <c r="Y691" s="43"/>
      <c r="Z691" s="43"/>
      <c r="AA691" s="43"/>
      <c r="AB691" s="43"/>
      <c r="AC691" s="43"/>
      <c r="AD691" s="43"/>
      <c r="AE691" s="43"/>
      <c r="AF691" s="43"/>
      <c r="AG691" s="43"/>
      <c r="AH691" s="43"/>
      <c r="AI691" s="43"/>
      <c r="AJ691" s="43"/>
      <c r="AK691" s="43"/>
      <c r="AL691" s="43"/>
      <c r="AM691" s="43"/>
      <c r="AN691" s="43"/>
      <c r="AO691" s="43"/>
      <c r="AP691" s="43"/>
      <c r="AQ691" s="43"/>
      <c r="AR691" s="43"/>
      <c r="AS691" s="43"/>
      <c r="AT691" s="76"/>
      <c r="AU691" s="174">
        <f>NGT_SO!AU92</f>
        <v>0</v>
      </c>
      <c r="AV691" s="50">
        <f>NGT_SO!AV92</f>
        <v>0</v>
      </c>
      <c r="AW691" s="50">
        <f>NGT_SO!AW92</f>
        <v>0</v>
      </c>
      <c r="AX691"/>
      <c r="AY691" s="54">
        <f t="shared" si="112"/>
        <v>0</v>
      </c>
      <c r="AZ691" s="44"/>
      <c r="BA691" s="44" t="str">
        <f t="shared" ref="BA691:BA695" ca="1" si="113">$A$1</f>
        <v>VariantAllowances</v>
      </c>
      <c r="BB691" s="44" t="str">
        <f t="shared" si="110"/>
        <v>SO variant allowances</v>
      </c>
      <c r="BC691" s="44" t="str">
        <f t="shared" si="111"/>
        <v>Variant attributes</v>
      </c>
    </row>
    <row r="692" spans="2:55" s="9" customFormat="1">
      <c r="B692" s="8"/>
      <c r="C692"/>
      <c r="D692"/>
      <c r="E692" s="43" t="str">
        <f>NGT_SO!E93</f>
        <v>Spare 4</v>
      </c>
      <c r="F692" s="150"/>
      <c r="G692" s="43" t="s">
        <v>148</v>
      </c>
      <c r="H692" s="48"/>
      <c r="I692" s="43"/>
      <c r="J692" s="43"/>
      <c r="K692" s="43"/>
      <c r="L692" s="43"/>
      <c r="M692" s="43"/>
      <c r="N692" s="43"/>
      <c r="O692" s="43"/>
      <c r="P692" s="43"/>
      <c r="Q692" s="43"/>
      <c r="R692" s="43"/>
      <c r="S692" s="43"/>
      <c r="T692" s="43"/>
      <c r="U692" s="43"/>
      <c r="V692" s="43"/>
      <c r="W692" s="43"/>
      <c r="X692" s="43"/>
      <c r="Y692" s="43"/>
      <c r="Z692" s="43"/>
      <c r="AA692" s="43"/>
      <c r="AB692" s="43"/>
      <c r="AC692" s="43"/>
      <c r="AD692" s="43"/>
      <c r="AE692" s="43"/>
      <c r="AF692" s="43"/>
      <c r="AG692" s="43"/>
      <c r="AH692" s="43"/>
      <c r="AI692" s="43"/>
      <c r="AJ692" s="43"/>
      <c r="AK692" s="43"/>
      <c r="AL692" s="43"/>
      <c r="AM692" s="43"/>
      <c r="AN692" s="43"/>
      <c r="AO692" s="43"/>
      <c r="AP692" s="43"/>
      <c r="AQ692" s="43"/>
      <c r="AR692" s="43"/>
      <c r="AS692" s="43"/>
      <c r="AT692" s="76"/>
      <c r="AU692" s="174">
        <f>NGT_SO!AU93</f>
        <v>0</v>
      </c>
      <c r="AV692" s="50">
        <f>NGT_SO!AV93</f>
        <v>0</v>
      </c>
      <c r="AW692" s="50">
        <f>NGT_SO!AW93</f>
        <v>0</v>
      </c>
      <c r="AX692"/>
      <c r="AY692" s="54">
        <f t="shared" si="112"/>
        <v>0</v>
      </c>
      <c r="AZ692" s="44"/>
      <c r="BA692" s="44" t="str">
        <f t="shared" ca="1" si="113"/>
        <v>VariantAllowances</v>
      </c>
      <c r="BB692" s="44" t="str">
        <f t="shared" si="110"/>
        <v>SO variant allowances</v>
      </c>
      <c r="BC692" s="44" t="str">
        <f t="shared" si="111"/>
        <v>Variant attributes</v>
      </c>
    </row>
    <row r="693" spans="2:55" s="9" customFormat="1">
      <c r="B693" s="8"/>
      <c r="C693"/>
      <c r="D693"/>
      <c r="E693" s="43" t="str">
        <f>NGT_SO!E94</f>
        <v>Spare 5</v>
      </c>
      <c r="F693" s="150"/>
      <c r="G693" s="43" t="s">
        <v>148</v>
      </c>
      <c r="H693" s="48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76"/>
      <c r="AU693" s="174">
        <f>NGT_SO!AU94</f>
        <v>0</v>
      </c>
      <c r="AV693" s="50">
        <f>NGT_SO!AV94</f>
        <v>0</v>
      </c>
      <c r="AW693" s="50">
        <f>NGT_SO!AW94</f>
        <v>0</v>
      </c>
      <c r="AX693"/>
      <c r="AY693" s="54">
        <f t="shared" si="112"/>
        <v>0</v>
      </c>
      <c r="AZ693" s="44"/>
      <c r="BA693" s="44" t="str">
        <f t="shared" ca="1" si="113"/>
        <v>VariantAllowances</v>
      </c>
      <c r="BB693" s="44" t="str">
        <f t="shared" si="110"/>
        <v>SO variant allowances</v>
      </c>
      <c r="BC693" s="44" t="str">
        <f t="shared" si="111"/>
        <v>Variant attributes</v>
      </c>
    </row>
    <row r="694" spans="2:55" s="9" customFormat="1">
      <c r="B694" s="8"/>
      <c r="C694"/>
      <c r="D694"/>
      <c r="E694" s="43" t="str">
        <f>NGT_SO!E95</f>
        <v>Spare 6</v>
      </c>
      <c r="F694" s="150"/>
      <c r="G694" s="43" t="s">
        <v>148</v>
      </c>
      <c r="H694" s="48"/>
      <c r="I694" s="43"/>
      <c r="J694" s="43"/>
      <c r="K694" s="43"/>
      <c r="L694" s="43"/>
      <c r="M694" s="43"/>
      <c r="N694" s="43"/>
      <c r="O694" s="43"/>
      <c r="P694" s="43"/>
      <c r="Q694" s="43"/>
      <c r="R694" s="43"/>
      <c r="S694" s="43"/>
      <c r="T694" s="43"/>
      <c r="U694" s="43"/>
      <c r="V694" s="43"/>
      <c r="W694" s="43"/>
      <c r="X694" s="43"/>
      <c r="Y694" s="43"/>
      <c r="Z694" s="43"/>
      <c r="AA694" s="43"/>
      <c r="AB694" s="43"/>
      <c r="AC694" s="43"/>
      <c r="AD694" s="43"/>
      <c r="AE694" s="43"/>
      <c r="AF694" s="43"/>
      <c r="AG694" s="43"/>
      <c r="AH694" s="43"/>
      <c r="AI694" s="43"/>
      <c r="AJ694" s="43"/>
      <c r="AK694" s="43"/>
      <c r="AL694" s="43"/>
      <c r="AM694" s="43"/>
      <c r="AN694" s="43"/>
      <c r="AO694" s="43"/>
      <c r="AP694" s="43"/>
      <c r="AQ694" s="43"/>
      <c r="AR694" s="43"/>
      <c r="AS694" s="43"/>
      <c r="AT694" s="76"/>
      <c r="AU694" s="174">
        <f>NGT_SO!AU95</f>
        <v>0</v>
      </c>
      <c r="AV694" s="50">
        <f>NGT_SO!AV95</f>
        <v>0</v>
      </c>
      <c r="AW694" s="50">
        <f>NGT_SO!AW95</f>
        <v>0</v>
      </c>
      <c r="AX694"/>
      <c r="AY694" s="54">
        <f t="shared" si="112"/>
        <v>0</v>
      </c>
      <c r="AZ694" s="44"/>
      <c r="BA694" s="44" t="str">
        <f t="shared" ca="1" si="113"/>
        <v>VariantAllowances</v>
      </c>
      <c r="BB694" s="44" t="str">
        <f t="shared" si="110"/>
        <v>SO variant allowances</v>
      </c>
      <c r="BC694" s="44" t="str">
        <f t="shared" si="111"/>
        <v>Variant attributes</v>
      </c>
    </row>
    <row r="695" spans="2:55" s="9" customFormat="1">
      <c r="B695" s="8"/>
      <c r="C695"/>
      <c r="D695"/>
      <c r="E695" s="43" t="str">
        <f>NGT_SO!E96</f>
        <v>Spare 7</v>
      </c>
      <c r="F695" s="150"/>
      <c r="G695" s="43" t="s">
        <v>148</v>
      </c>
      <c r="H695" s="48"/>
      <c r="I695" s="43"/>
      <c r="J695" s="43"/>
      <c r="K695" s="43"/>
      <c r="L695" s="43"/>
      <c r="M695" s="43"/>
      <c r="N695" s="43"/>
      <c r="O695" s="43"/>
      <c r="P695" s="43"/>
      <c r="Q695" s="43"/>
      <c r="R695" s="43"/>
      <c r="S695" s="43"/>
      <c r="T695" s="43"/>
      <c r="U695" s="43"/>
      <c r="V695" s="43"/>
      <c r="W695" s="43"/>
      <c r="X695" s="43"/>
      <c r="Y695" s="43"/>
      <c r="Z695" s="43"/>
      <c r="AA695" s="43"/>
      <c r="AB695" s="43"/>
      <c r="AC695" s="43"/>
      <c r="AD695" s="43"/>
      <c r="AE695" s="43"/>
      <c r="AF695" s="43"/>
      <c r="AG695" s="43"/>
      <c r="AH695" s="43"/>
      <c r="AI695" s="43"/>
      <c r="AJ695" s="43"/>
      <c r="AK695" s="43"/>
      <c r="AL695" s="43"/>
      <c r="AM695" s="43"/>
      <c r="AN695" s="43"/>
      <c r="AO695" s="43"/>
      <c r="AP695" s="43"/>
      <c r="AQ695" s="43"/>
      <c r="AR695" s="43"/>
      <c r="AS695" s="43"/>
      <c r="AT695" s="76"/>
      <c r="AU695" s="174">
        <f>NGT_SO!AU96</f>
        <v>0</v>
      </c>
      <c r="AV695" s="50">
        <f>NGT_SO!AV96</f>
        <v>0</v>
      </c>
      <c r="AW695" s="50">
        <f>NGT_SO!AW96</f>
        <v>0</v>
      </c>
      <c r="AX695"/>
      <c r="AY695" s="54">
        <f t="shared" si="112"/>
        <v>0</v>
      </c>
      <c r="AZ695" s="44"/>
      <c r="BA695" s="44" t="str">
        <f t="shared" ca="1" si="113"/>
        <v>VariantAllowances</v>
      </c>
      <c r="BB695" s="44" t="str">
        <f t="shared" si="110"/>
        <v>SO variant allowances</v>
      </c>
      <c r="BC695" s="44" t="str">
        <f t="shared" si="111"/>
        <v>Variant attributes</v>
      </c>
    </row>
    <row r="696" spans="2:55">
      <c r="AZ696" s="44"/>
      <c r="BA696" s="1"/>
    </row>
    <row r="697" spans="2:55" s="9" customFormat="1" ht="17.5" thickBot="1">
      <c r="B697" s="11" t="s">
        <v>135</v>
      </c>
      <c r="C697"/>
      <c r="D697"/>
      <c r="E697" s="43"/>
      <c r="F697" s="150"/>
      <c r="G697" s="43"/>
      <c r="H697" s="43"/>
      <c r="I697" s="43"/>
      <c r="J697" s="43"/>
      <c r="K697" s="43"/>
      <c r="L697" s="43"/>
      <c r="M697" s="43"/>
      <c r="N697" s="43"/>
      <c r="O697" s="43"/>
      <c r="P697" s="43"/>
      <c r="Q697" s="43"/>
      <c r="R697" s="43"/>
      <c r="S697" s="43"/>
      <c r="T697" s="43"/>
      <c r="U697" s="43"/>
      <c r="V697" s="43"/>
      <c r="W697" s="43"/>
      <c r="X697" s="43"/>
      <c r="Y697" s="43"/>
      <c r="Z697" s="43"/>
      <c r="AA697" s="43"/>
      <c r="AB697" s="43"/>
      <c r="AC697" s="43"/>
      <c r="AD697" s="43"/>
      <c r="AE697" s="43"/>
      <c r="AF697" s="43"/>
      <c r="AG697" s="43"/>
      <c r="AH697" s="43"/>
      <c r="AI697" s="43"/>
      <c r="AJ697" s="43"/>
      <c r="AK697" s="43"/>
      <c r="AL697" s="43"/>
      <c r="AM697" s="43"/>
      <c r="AN697" s="43"/>
      <c r="AO697" s="43"/>
      <c r="AP697" s="43"/>
      <c r="AQ697" s="43"/>
      <c r="AR697" s="43"/>
      <c r="AS697" s="43"/>
      <c r="AT697" s="76"/>
      <c r="AU697" s="43"/>
      <c r="AV697" s="43"/>
      <c r="AW697" s="43"/>
      <c r="AX697" s="43"/>
      <c r="AY697" s="43"/>
      <c r="AZ697" s="44"/>
      <c r="BA697" s="44"/>
      <c r="BB697" s="44"/>
      <c r="BC697" s="44"/>
    </row>
    <row r="698" spans="2:55" s="9" customFormat="1" ht="16.5" thickTop="1">
      <c r="B698" s="8"/>
      <c r="C698"/>
      <c r="D698"/>
      <c r="E698" s="195" t="str">
        <f>NGT_SO!E99</f>
        <v>Cyber resilience term Price Control Deliverable</v>
      </c>
      <c r="F698" s="221"/>
      <c r="G698" s="196" t="s">
        <v>33</v>
      </c>
      <c r="H698" s="196" t="str">
        <f>NGT_SO!H99</f>
        <v>Non-operational capex</v>
      </c>
      <c r="I698" s="196"/>
      <c r="J698" s="196"/>
      <c r="K698" s="196"/>
      <c r="L698" s="196"/>
      <c r="M698" s="196"/>
      <c r="N698" s="196"/>
      <c r="O698" s="196"/>
      <c r="P698" s="196"/>
      <c r="Q698" s="196"/>
      <c r="R698" s="196"/>
      <c r="S698" s="196"/>
      <c r="T698" s="196"/>
      <c r="U698" s="196"/>
      <c r="V698" s="196"/>
      <c r="W698" s="196"/>
      <c r="X698" s="196"/>
      <c r="Y698" s="196"/>
      <c r="Z698" s="196"/>
      <c r="AA698" s="196"/>
      <c r="AB698" s="196"/>
      <c r="AC698" s="196"/>
      <c r="AD698" s="196"/>
      <c r="AE698" s="196"/>
      <c r="AF698" s="196"/>
      <c r="AG698" s="196"/>
      <c r="AH698" s="196"/>
      <c r="AI698" s="196"/>
      <c r="AJ698" s="196"/>
      <c r="AK698" s="196"/>
      <c r="AL698" s="196"/>
      <c r="AM698" s="196"/>
      <c r="AN698" s="196"/>
      <c r="AO698" s="196"/>
      <c r="AP698" s="196"/>
      <c r="AQ698" s="196"/>
      <c r="AR698" s="196"/>
      <c r="AS698" s="196"/>
      <c r="AT698" s="197"/>
      <c r="AU698" s="235">
        <f>NGT_SO!AU99</f>
        <v>0.6</v>
      </c>
      <c r="AV698" s="236">
        <f>NGT_SO!AV99</f>
        <v>0.6</v>
      </c>
      <c r="AW698" s="236">
        <f>NGT_SO!AW99</f>
        <v>0.6</v>
      </c>
      <c r="AX698" s="236">
        <f>NGT_SO!AX99</f>
        <v>0.6</v>
      </c>
      <c r="AY698" s="237">
        <f>NGT_SO!AY99</f>
        <v>0.6</v>
      </c>
      <c r="AZ698" s="44"/>
      <c r="BA698" s="44" t="str">
        <f ca="1">$A$1</f>
        <v>VariantAllowances</v>
      </c>
      <c r="BB698" s="44" t="str">
        <f t="shared" ref="BB698:BB729" si="114">$A$660</f>
        <v>SO variant allowances</v>
      </c>
      <c r="BC698" s="44" t="str">
        <f t="shared" ref="BC698:BC729" si="115">$B$697</f>
        <v>Variant allowances percentage allocation</v>
      </c>
    </row>
    <row r="699" spans="2:55" s="9" customFormat="1">
      <c r="B699" s="8"/>
      <c r="C699"/>
      <c r="D699"/>
      <c r="E699" s="201" t="str">
        <f>NGT_SO!E100</f>
        <v>Cyber resilience term Price Control Deliverable</v>
      </c>
      <c r="F699" s="225"/>
      <c r="G699" s="202" t="s">
        <v>33</v>
      </c>
      <c r="H699" s="202" t="str">
        <f>NGT_SO!H100</f>
        <v>Controllable opex</v>
      </c>
      <c r="I699" s="202"/>
      <c r="J699" s="202"/>
      <c r="K699" s="202"/>
      <c r="L699" s="202"/>
      <c r="M699" s="202"/>
      <c r="N699" s="202"/>
      <c r="O699" s="202"/>
      <c r="P699" s="202"/>
      <c r="Q699" s="202"/>
      <c r="R699" s="202"/>
      <c r="S699" s="202"/>
      <c r="T699" s="202"/>
      <c r="U699" s="202"/>
      <c r="V699" s="202"/>
      <c r="W699" s="202"/>
      <c r="X699" s="202"/>
      <c r="Y699" s="202"/>
      <c r="Z699" s="202"/>
      <c r="AA699" s="202"/>
      <c r="AB699" s="202"/>
      <c r="AC699" s="202"/>
      <c r="AD699" s="202"/>
      <c r="AE699" s="202"/>
      <c r="AF699" s="202"/>
      <c r="AG699" s="202"/>
      <c r="AH699" s="202"/>
      <c r="AI699" s="202"/>
      <c r="AJ699" s="202"/>
      <c r="AK699" s="202"/>
      <c r="AL699" s="202"/>
      <c r="AM699" s="202"/>
      <c r="AN699" s="202"/>
      <c r="AO699" s="202"/>
      <c r="AP699" s="202"/>
      <c r="AQ699" s="202"/>
      <c r="AR699" s="202"/>
      <c r="AS699" s="202"/>
      <c r="AT699" s="203"/>
      <c r="AU699" s="238">
        <f>NGT_SO!AU100</f>
        <v>0.4</v>
      </c>
      <c r="AV699" s="239">
        <f>NGT_SO!AV100</f>
        <v>0.4</v>
      </c>
      <c r="AW699" s="239">
        <f>NGT_SO!AW100</f>
        <v>0.4</v>
      </c>
      <c r="AX699" s="239">
        <f>NGT_SO!AX100</f>
        <v>0.4</v>
      </c>
      <c r="AY699" s="240">
        <f>NGT_SO!AY100</f>
        <v>0.4</v>
      </c>
      <c r="AZ699" s="44"/>
      <c r="BA699" s="44" t="str">
        <f t="shared" ref="BA699:BA729" ca="1" si="116">$A$1</f>
        <v>VariantAllowances</v>
      </c>
      <c r="BB699" s="44" t="str">
        <f t="shared" si="114"/>
        <v>SO variant allowances</v>
      </c>
      <c r="BC699" s="44" t="str">
        <f t="shared" si="115"/>
        <v>Variant allowances percentage allocation</v>
      </c>
    </row>
    <row r="700" spans="2:55" s="9" customFormat="1">
      <c r="B700" s="8"/>
      <c r="C700"/>
      <c r="D700"/>
      <c r="E700" s="195" t="str">
        <f>NGT_SO!E101</f>
        <v>Cyber resilience Re-Opener</v>
      </c>
      <c r="F700" s="221"/>
      <c r="G700" s="196" t="s">
        <v>33</v>
      </c>
      <c r="H700" s="196" t="str">
        <f>NGT_SO!H101</f>
        <v>Non-operational capex</v>
      </c>
      <c r="I700" s="196"/>
      <c r="J700" s="196"/>
      <c r="K700" s="196"/>
      <c r="L700" s="196"/>
      <c r="M700" s="196"/>
      <c r="N700" s="196"/>
      <c r="O700" s="196"/>
      <c r="P700" s="196"/>
      <c r="Q700" s="196"/>
      <c r="R700" s="196"/>
      <c r="S700" s="196"/>
      <c r="T700" s="196"/>
      <c r="U700" s="196"/>
      <c r="V700" s="196"/>
      <c r="W700" s="196"/>
      <c r="X700" s="196"/>
      <c r="Y700" s="196"/>
      <c r="Z700" s="196"/>
      <c r="AA700" s="196"/>
      <c r="AB700" s="196"/>
      <c r="AC700" s="196"/>
      <c r="AD700" s="196"/>
      <c r="AE700" s="196"/>
      <c r="AF700" s="196"/>
      <c r="AG700" s="196"/>
      <c r="AH700" s="196"/>
      <c r="AI700" s="196"/>
      <c r="AJ700" s="196"/>
      <c r="AK700" s="196"/>
      <c r="AL700" s="196"/>
      <c r="AM700" s="196"/>
      <c r="AN700" s="196"/>
      <c r="AO700" s="196"/>
      <c r="AP700" s="196"/>
      <c r="AQ700" s="196"/>
      <c r="AR700" s="196"/>
      <c r="AS700" s="196"/>
      <c r="AT700" s="197"/>
      <c r="AU700" s="235">
        <f>NGT_SO!AU101</f>
        <v>0</v>
      </c>
      <c r="AV700" s="236">
        <f>NGT_SO!AV101</f>
        <v>0</v>
      </c>
      <c r="AW700" s="236">
        <f>NGT_SO!AW101</f>
        <v>0</v>
      </c>
      <c r="AX700" s="236">
        <f>NGT_SO!AX101</f>
        <v>0</v>
      </c>
      <c r="AY700" s="237">
        <f>NGT_SO!AY101</f>
        <v>0</v>
      </c>
      <c r="AZ700" s="44"/>
      <c r="BA700" s="44" t="str">
        <f t="shared" ca="1" si="116"/>
        <v>VariantAllowances</v>
      </c>
      <c r="BB700" s="44" t="str">
        <f t="shared" si="114"/>
        <v>SO variant allowances</v>
      </c>
      <c r="BC700" s="44" t="str">
        <f t="shared" si="115"/>
        <v>Variant allowances percentage allocation</v>
      </c>
    </row>
    <row r="701" spans="2:55" s="9" customFormat="1">
      <c r="B701" s="8"/>
      <c r="C701"/>
      <c r="D701"/>
      <c r="E701" s="201" t="str">
        <f>NGT_SO!E102</f>
        <v>Cyber resilience Re-Opener</v>
      </c>
      <c r="F701" s="225"/>
      <c r="G701" s="202" t="s">
        <v>33</v>
      </c>
      <c r="H701" s="202" t="str">
        <f>NGT_SO!H102</f>
        <v>Controllable opex</v>
      </c>
      <c r="I701" s="202"/>
      <c r="J701" s="202"/>
      <c r="K701" s="202"/>
      <c r="L701" s="202"/>
      <c r="M701" s="202"/>
      <c r="N701" s="202"/>
      <c r="O701" s="202"/>
      <c r="P701" s="202"/>
      <c r="Q701" s="202"/>
      <c r="R701" s="202"/>
      <c r="S701" s="202"/>
      <c r="T701" s="202"/>
      <c r="U701" s="202"/>
      <c r="V701" s="202"/>
      <c r="W701" s="202"/>
      <c r="X701" s="202"/>
      <c r="Y701" s="202"/>
      <c r="Z701" s="202"/>
      <c r="AA701" s="202"/>
      <c r="AB701" s="202"/>
      <c r="AC701" s="202"/>
      <c r="AD701" s="202"/>
      <c r="AE701" s="202"/>
      <c r="AF701" s="202"/>
      <c r="AG701" s="202"/>
      <c r="AH701" s="202"/>
      <c r="AI701" s="202"/>
      <c r="AJ701" s="202"/>
      <c r="AK701" s="202"/>
      <c r="AL701" s="202"/>
      <c r="AM701" s="202"/>
      <c r="AN701" s="202"/>
      <c r="AO701" s="202"/>
      <c r="AP701" s="202"/>
      <c r="AQ701" s="202"/>
      <c r="AR701" s="202"/>
      <c r="AS701" s="202"/>
      <c r="AT701" s="203"/>
      <c r="AU701" s="238">
        <f>NGT_SO!AU102</f>
        <v>0</v>
      </c>
      <c r="AV701" s="239">
        <f>NGT_SO!AV102</f>
        <v>0</v>
      </c>
      <c r="AW701" s="239">
        <f>NGT_SO!AW102</f>
        <v>0</v>
      </c>
      <c r="AX701" s="239">
        <f>NGT_SO!AX102</f>
        <v>0</v>
      </c>
      <c r="AY701" s="240">
        <f>NGT_SO!AY102</f>
        <v>0</v>
      </c>
      <c r="AZ701" s="44"/>
      <c r="BA701" s="44" t="str">
        <f t="shared" ca="1" si="116"/>
        <v>VariantAllowances</v>
      </c>
      <c r="BB701" s="44" t="str">
        <f t="shared" si="114"/>
        <v>SO variant allowances</v>
      </c>
      <c r="BC701" s="44" t="str">
        <f t="shared" si="115"/>
        <v>Variant allowances percentage allocation</v>
      </c>
    </row>
    <row r="702" spans="2:55" s="9" customFormat="1">
      <c r="B702" s="8"/>
      <c r="C702"/>
      <c r="D702"/>
      <c r="E702" s="195" t="str">
        <f>NGT_SO!E103</f>
        <v>Cyber Use it or lose it allowance</v>
      </c>
      <c r="F702" s="221"/>
      <c r="G702" s="196" t="s">
        <v>33</v>
      </c>
      <c r="H702" s="196" t="str">
        <f>NGT_SO!H103</f>
        <v>Non-operational capex</v>
      </c>
      <c r="I702" s="196"/>
      <c r="J702" s="196"/>
      <c r="K702" s="196"/>
      <c r="L702" s="196"/>
      <c r="M702" s="196"/>
      <c r="N702" s="196"/>
      <c r="O702" s="196"/>
      <c r="P702" s="196"/>
      <c r="Q702" s="196"/>
      <c r="R702" s="196"/>
      <c r="S702" s="196"/>
      <c r="T702" s="196"/>
      <c r="U702" s="196"/>
      <c r="V702" s="196"/>
      <c r="W702" s="196"/>
      <c r="X702" s="196"/>
      <c r="Y702" s="196"/>
      <c r="Z702" s="196"/>
      <c r="AA702" s="196"/>
      <c r="AB702" s="196"/>
      <c r="AC702" s="196"/>
      <c r="AD702" s="196"/>
      <c r="AE702" s="196"/>
      <c r="AF702" s="196"/>
      <c r="AG702" s="196"/>
      <c r="AH702" s="196"/>
      <c r="AI702" s="196"/>
      <c r="AJ702" s="196"/>
      <c r="AK702" s="196"/>
      <c r="AL702" s="196"/>
      <c r="AM702" s="196"/>
      <c r="AN702" s="196"/>
      <c r="AO702" s="196"/>
      <c r="AP702" s="196"/>
      <c r="AQ702" s="196"/>
      <c r="AR702" s="196"/>
      <c r="AS702" s="196"/>
      <c r="AT702" s="197"/>
      <c r="AU702" s="235">
        <f>NGT_SO!AU103</f>
        <v>0.6</v>
      </c>
      <c r="AV702" s="236">
        <f>NGT_SO!AV103</f>
        <v>0.6</v>
      </c>
      <c r="AW702" s="236">
        <f>NGT_SO!AW103</f>
        <v>0.6</v>
      </c>
      <c r="AX702" s="236">
        <f>NGT_SO!AX103</f>
        <v>0.6</v>
      </c>
      <c r="AY702" s="237">
        <f>NGT_SO!AY103</f>
        <v>0.6</v>
      </c>
      <c r="AZ702" s="44"/>
      <c r="BA702" s="44" t="str">
        <f t="shared" ca="1" si="116"/>
        <v>VariantAllowances</v>
      </c>
      <c r="BB702" s="44" t="str">
        <f t="shared" si="114"/>
        <v>SO variant allowances</v>
      </c>
      <c r="BC702" s="44" t="str">
        <f t="shared" si="115"/>
        <v>Variant allowances percentage allocation</v>
      </c>
    </row>
    <row r="703" spans="2:55" s="9" customFormat="1">
      <c r="B703" s="8"/>
      <c r="C703"/>
      <c r="D703"/>
      <c r="E703" s="201" t="str">
        <f>NGT_SO!E104</f>
        <v>Cyber Use it or lose it allowance</v>
      </c>
      <c r="F703" s="225"/>
      <c r="G703" s="202" t="s">
        <v>33</v>
      </c>
      <c r="H703" s="202" t="str">
        <f>NGT_SO!H104</f>
        <v>Controllable opex</v>
      </c>
      <c r="I703" s="202"/>
      <c r="J703" s="202"/>
      <c r="K703" s="202"/>
      <c r="L703" s="202"/>
      <c r="M703" s="202"/>
      <c r="N703" s="202"/>
      <c r="O703" s="202"/>
      <c r="P703" s="202"/>
      <c r="Q703" s="202"/>
      <c r="R703" s="202"/>
      <c r="S703" s="202"/>
      <c r="T703" s="202"/>
      <c r="U703" s="202"/>
      <c r="V703" s="202"/>
      <c r="W703" s="202"/>
      <c r="X703" s="202"/>
      <c r="Y703" s="202"/>
      <c r="Z703" s="202"/>
      <c r="AA703" s="202"/>
      <c r="AB703" s="202"/>
      <c r="AC703" s="202"/>
      <c r="AD703" s="202"/>
      <c r="AE703" s="202"/>
      <c r="AF703" s="202"/>
      <c r="AG703" s="202"/>
      <c r="AH703" s="202"/>
      <c r="AI703" s="202"/>
      <c r="AJ703" s="202"/>
      <c r="AK703" s="202"/>
      <c r="AL703" s="202"/>
      <c r="AM703" s="202"/>
      <c r="AN703" s="202"/>
      <c r="AO703" s="202"/>
      <c r="AP703" s="202"/>
      <c r="AQ703" s="202"/>
      <c r="AR703" s="202"/>
      <c r="AS703" s="202"/>
      <c r="AT703" s="203"/>
      <c r="AU703" s="238">
        <f>NGT_SO!AU104</f>
        <v>0.4</v>
      </c>
      <c r="AV703" s="239">
        <f>NGT_SO!AV104</f>
        <v>0.4</v>
      </c>
      <c r="AW703" s="239">
        <f>NGT_SO!AW104</f>
        <v>0.4</v>
      </c>
      <c r="AX703" s="239">
        <f>NGT_SO!AX104</f>
        <v>0.4</v>
      </c>
      <c r="AY703" s="240">
        <f>NGT_SO!AY104</f>
        <v>0.4</v>
      </c>
      <c r="AZ703" s="44"/>
      <c r="BA703" s="44" t="str">
        <f t="shared" ca="1" si="116"/>
        <v>VariantAllowances</v>
      </c>
      <c r="BB703" s="44" t="str">
        <f t="shared" si="114"/>
        <v>SO variant allowances</v>
      </c>
      <c r="BC703" s="44" t="str">
        <f t="shared" si="115"/>
        <v>Variant allowances percentage allocation</v>
      </c>
    </row>
    <row r="704" spans="2:55" s="9" customFormat="1">
      <c r="B704" s="8"/>
      <c r="C704"/>
      <c r="D704"/>
      <c r="E704" s="195" t="str">
        <f>NGT_SO!E105</f>
        <v>Decarbonisation and Environmental Policy Re-opener</v>
      </c>
      <c r="F704" s="221"/>
      <c r="G704" s="196" t="s">
        <v>33</v>
      </c>
      <c r="H704" s="196" t="str">
        <f>NGT_SO!H105</f>
        <v>Non-operational capex</v>
      </c>
      <c r="I704" s="196"/>
      <c r="J704" s="196"/>
      <c r="K704" s="196"/>
      <c r="L704" s="196"/>
      <c r="M704" s="196"/>
      <c r="N704" s="196"/>
      <c r="O704" s="196"/>
      <c r="P704" s="196"/>
      <c r="Q704" s="196"/>
      <c r="R704" s="196"/>
      <c r="S704" s="196"/>
      <c r="T704" s="196"/>
      <c r="U704" s="196"/>
      <c r="V704" s="196"/>
      <c r="W704" s="196"/>
      <c r="X704" s="196"/>
      <c r="Y704" s="196"/>
      <c r="Z704" s="196"/>
      <c r="AA704" s="196"/>
      <c r="AB704" s="196"/>
      <c r="AC704" s="196"/>
      <c r="AD704" s="196"/>
      <c r="AE704" s="196"/>
      <c r="AF704" s="196"/>
      <c r="AG704" s="196"/>
      <c r="AH704" s="196"/>
      <c r="AI704" s="196"/>
      <c r="AJ704" s="196"/>
      <c r="AK704" s="196"/>
      <c r="AL704" s="196"/>
      <c r="AM704" s="196"/>
      <c r="AN704" s="196"/>
      <c r="AO704" s="196"/>
      <c r="AP704" s="196"/>
      <c r="AQ704" s="196"/>
      <c r="AR704" s="196"/>
      <c r="AS704" s="196"/>
      <c r="AT704" s="197"/>
      <c r="AU704" s="235">
        <f>NGT_SO!AU105</f>
        <v>0</v>
      </c>
      <c r="AV704" s="236">
        <f>NGT_SO!AV105</f>
        <v>0</v>
      </c>
      <c r="AW704" s="236">
        <f>NGT_SO!AW105</f>
        <v>0</v>
      </c>
      <c r="AX704" s="236">
        <f>NGT_SO!AX105</f>
        <v>0</v>
      </c>
      <c r="AY704" s="237">
        <f>NGT_SO!AY105</f>
        <v>0</v>
      </c>
      <c r="AZ704" s="44"/>
      <c r="BA704" s="44" t="str">
        <f t="shared" ca="1" si="116"/>
        <v>VariantAllowances</v>
      </c>
      <c r="BB704" s="44" t="str">
        <f t="shared" si="114"/>
        <v>SO variant allowances</v>
      </c>
      <c r="BC704" s="44" t="str">
        <f t="shared" si="115"/>
        <v>Variant allowances percentage allocation</v>
      </c>
    </row>
    <row r="705" spans="1:55" s="9" customFormat="1">
      <c r="B705" s="8"/>
      <c r="C705"/>
      <c r="D705"/>
      <c r="E705" s="201" t="str">
        <f>NGT_SO!E106</f>
        <v>Decarbonisation and Environmental Policy Re-opener</v>
      </c>
      <c r="F705" s="225"/>
      <c r="G705" s="202" t="s">
        <v>33</v>
      </c>
      <c r="H705" s="202" t="str">
        <f>NGT_SO!H106</f>
        <v>Controllable opex</v>
      </c>
      <c r="I705" s="202"/>
      <c r="J705" s="202"/>
      <c r="K705" s="202"/>
      <c r="L705" s="202"/>
      <c r="M705" s="202"/>
      <c r="N705" s="202"/>
      <c r="O705" s="202"/>
      <c r="P705" s="202"/>
      <c r="Q705" s="202"/>
      <c r="R705" s="202"/>
      <c r="S705" s="202"/>
      <c r="T705" s="202"/>
      <c r="U705" s="202"/>
      <c r="V705" s="202"/>
      <c r="W705" s="202"/>
      <c r="X705" s="202"/>
      <c r="Y705" s="202"/>
      <c r="Z705" s="202"/>
      <c r="AA705" s="202"/>
      <c r="AB705" s="202"/>
      <c r="AC705" s="202"/>
      <c r="AD705" s="202"/>
      <c r="AE705" s="202"/>
      <c r="AF705" s="202"/>
      <c r="AG705" s="202"/>
      <c r="AH705" s="202"/>
      <c r="AI705" s="202"/>
      <c r="AJ705" s="202"/>
      <c r="AK705" s="202"/>
      <c r="AL705" s="202"/>
      <c r="AM705" s="202"/>
      <c r="AN705" s="202"/>
      <c r="AO705" s="202"/>
      <c r="AP705" s="202"/>
      <c r="AQ705" s="202"/>
      <c r="AR705" s="202"/>
      <c r="AS705" s="202"/>
      <c r="AT705" s="203"/>
      <c r="AU705" s="238">
        <f>NGT_SO!AU106</f>
        <v>0</v>
      </c>
      <c r="AV705" s="239">
        <f>NGT_SO!AV106</f>
        <v>0</v>
      </c>
      <c r="AW705" s="239">
        <f>NGT_SO!AW106</f>
        <v>0</v>
      </c>
      <c r="AX705" s="239">
        <f>NGT_SO!AX106</f>
        <v>0</v>
      </c>
      <c r="AY705" s="240">
        <f>NGT_SO!AY106</f>
        <v>0</v>
      </c>
      <c r="AZ705" s="44"/>
      <c r="BA705" s="44" t="str">
        <f t="shared" ca="1" si="116"/>
        <v>VariantAllowances</v>
      </c>
      <c r="BB705" s="44" t="str">
        <f t="shared" si="114"/>
        <v>SO variant allowances</v>
      </c>
      <c r="BC705" s="44" t="str">
        <f t="shared" si="115"/>
        <v>Variant allowances percentage allocation</v>
      </c>
    </row>
    <row r="706" spans="1:55" s="9" customFormat="1">
      <c r="B706" s="8"/>
      <c r="C706"/>
      <c r="D706"/>
      <c r="E706" s="195" t="str">
        <f>NGT_SO!E107</f>
        <v>Digitalisation Re-opener</v>
      </c>
      <c r="F706" s="221"/>
      <c r="G706" s="196" t="s">
        <v>33</v>
      </c>
      <c r="H706" s="196" t="str">
        <f>NGT_SO!H107</f>
        <v>Non-operational capex</v>
      </c>
      <c r="I706" s="196"/>
      <c r="J706" s="196"/>
      <c r="K706" s="196"/>
      <c r="L706" s="196"/>
      <c r="M706" s="196"/>
      <c r="N706" s="196"/>
      <c r="O706" s="196"/>
      <c r="P706" s="196"/>
      <c r="Q706" s="196"/>
      <c r="R706" s="196"/>
      <c r="S706" s="196"/>
      <c r="T706" s="196"/>
      <c r="U706" s="196"/>
      <c r="V706" s="196"/>
      <c r="W706" s="196"/>
      <c r="X706" s="196"/>
      <c r="Y706" s="196"/>
      <c r="Z706" s="196"/>
      <c r="AA706" s="196"/>
      <c r="AB706" s="196"/>
      <c r="AC706" s="196"/>
      <c r="AD706" s="196"/>
      <c r="AE706" s="196"/>
      <c r="AF706" s="196"/>
      <c r="AG706" s="196"/>
      <c r="AH706" s="196"/>
      <c r="AI706" s="196"/>
      <c r="AJ706" s="196"/>
      <c r="AK706" s="196"/>
      <c r="AL706" s="196"/>
      <c r="AM706" s="196"/>
      <c r="AN706" s="196"/>
      <c r="AO706" s="196"/>
      <c r="AP706" s="196"/>
      <c r="AQ706" s="196"/>
      <c r="AR706" s="196"/>
      <c r="AS706" s="196"/>
      <c r="AT706" s="197"/>
      <c r="AU706" s="235">
        <f>NGT_SO!AU107</f>
        <v>0</v>
      </c>
      <c r="AV706" s="236">
        <f>NGT_SO!AV107</f>
        <v>0</v>
      </c>
      <c r="AW706" s="236">
        <f>NGT_SO!AW107</f>
        <v>0</v>
      </c>
      <c r="AX706" s="236">
        <f>NGT_SO!AX107</f>
        <v>0</v>
      </c>
      <c r="AY706" s="237">
        <f>NGT_SO!AY107</f>
        <v>0</v>
      </c>
      <c r="AZ706" s="44"/>
      <c r="BA706" s="44" t="str">
        <f t="shared" ca="1" si="116"/>
        <v>VariantAllowances</v>
      </c>
      <c r="BB706" s="44" t="str">
        <f t="shared" si="114"/>
        <v>SO variant allowances</v>
      </c>
      <c r="BC706" s="44" t="str">
        <f t="shared" si="115"/>
        <v>Variant allowances percentage allocation</v>
      </c>
    </row>
    <row r="707" spans="1:55" s="9" customFormat="1">
      <c r="B707" s="8"/>
      <c r="C707"/>
      <c r="D707"/>
      <c r="E707" s="201" t="str">
        <f>NGT_SO!E108</f>
        <v>Digitalisation Re-opener</v>
      </c>
      <c r="F707" s="225"/>
      <c r="G707" s="202" t="s">
        <v>33</v>
      </c>
      <c r="H707" s="202" t="str">
        <f>NGT_SO!H108</f>
        <v>Controllable opex</v>
      </c>
      <c r="I707" s="202"/>
      <c r="J707" s="202"/>
      <c r="K707" s="202"/>
      <c r="L707" s="202"/>
      <c r="M707" s="202"/>
      <c r="N707" s="202"/>
      <c r="O707" s="202"/>
      <c r="P707" s="202"/>
      <c r="Q707" s="202"/>
      <c r="R707" s="202"/>
      <c r="S707" s="202"/>
      <c r="T707" s="202"/>
      <c r="U707" s="202"/>
      <c r="V707" s="202"/>
      <c r="W707" s="202"/>
      <c r="X707" s="202"/>
      <c r="Y707" s="202"/>
      <c r="Z707" s="202"/>
      <c r="AA707" s="202"/>
      <c r="AB707" s="202"/>
      <c r="AC707" s="202"/>
      <c r="AD707" s="202"/>
      <c r="AE707" s="202"/>
      <c r="AF707" s="202"/>
      <c r="AG707" s="202"/>
      <c r="AH707" s="202"/>
      <c r="AI707" s="202"/>
      <c r="AJ707" s="202"/>
      <c r="AK707" s="202"/>
      <c r="AL707" s="202"/>
      <c r="AM707" s="202"/>
      <c r="AN707" s="202"/>
      <c r="AO707" s="202"/>
      <c r="AP707" s="202"/>
      <c r="AQ707" s="202"/>
      <c r="AR707" s="202"/>
      <c r="AS707" s="202"/>
      <c r="AT707" s="203"/>
      <c r="AU707" s="238">
        <f>NGT_SO!AU108</f>
        <v>0</v>
      </c>
      <c r="AV707" s="239">
        <f>NGT_SO!AV108</f>
        <v>0</v>
      </c>
      <c r="AW707" s="239">
        <f>NGT_SO!AW108</f>
        <v>0</v>
      </c>
      <c r="AX707" s="239">
        <f>NGT_SO!AX108</f>
        <v>0</v>
      </c>
      <c r="AY707" s="240">
        <f>NGT_SO!AY108</f>
        <v>0</v>
      </c>
      <c r="AZ707" s="44"/>
      <c r="BA707" s="44" t="str">
        <f t="shared" ca="1" si="116"/>
        <v>VariantAllowances</v>
      </c>
      <c r="BB707" s="44" t="str">
        <f t="shared" si="114"/>
        <v>SO variant allowances</v>
      </c>
      <c r="BC707" s="44" t="str">
        <f t="shared" si="115"/>
        <v>Variant allowances percentage allocation</v>
      </c>
    </row>
    <row r="708" spans="1:55" s="9" customFormat="1">
      <c r="B708" s="8"/>
      <c r="C708"/>
      <c r="D708"/>
      <c r="E708" s="195" t="str">
        <f>NGT_SO!E109</f>
        <v>Funded Incremental Obligated Capacity Price Control Deliverable</v>
      </c>
      <c r="F708" s="221"/>
      <c r="G708" s="196" t="s">
        <v>33</v>
      </c>
      <c r="H708" s="196" t="str">
        <f>NGT_SO!H109</f>
        <v>Non-operational capex</v>
      </c>
      <c r="I708" s="196"/>
      <c r="J708" s="196"/>
      <c r="K708" s="196"/>
      <c r="L708" s="196"/>
      <c r="M708" s="196"/>
      <c r="N708" s="196"/>
      <c r="O708" s="196"/>
      <c r="P708" s="196"/>
      <c r="Q708" s="196"/>
      <c r="R708" s="196"/>
      <c r="S708" s="196"/>
      <c r="T708" s="196"/>
      <c r="U708" s="196"/>
      <c r="V708" s="196"/>
      <c r="W708" s="196"/>
      <c r="X708" s="196"/>
      <c r="Y708" s="196"/>
      <c r="Z708" s="196"/>
      <c r="AA708" s="196"/>
      <c r="AB708" s="196"/>
      <c r="AC708" s="196"/>
      <c r="AD708" s="196"/>
      <c r="AE708" s="196"/>
      <c r="AF708" s="196"/>
      <c r="AG708" s="196"/>
      <c r="AH708" s="196"/>
      <c r="AI708" s="196"/>
      <c r="AJ708" s="196"/>
      <c r="AK708" s="196"/>
      <c r="AL708" s="196"/>
      <c r="AM708" s="196"/>
      <c r="AN708" s="196"/>
      <c r="AO708" s="196"/>
      <c r="AP708" s="196"/>
      <c r="AQ708" s="196"/>
      <c r="AR708" s="196"/>
      <c r="AS708" s="196"/>
      <c r="AT708" s="197"/>
      <c r="AU708" s="235">
        <f>NGT_SO!AU109</f>
        <v>0</v>
      </c>
      <c r="AV708" s="236">
        <f>NGT_SO!AV109</f>
        <v>0</v>
      </c>
      <c r="AW708" s="236">
        <f>NGT_SO!AW109</f>
        <v>0</v>
      </c>
      <c r="AX708" s="236">
        <f>NGT_SO!AX109</f>
        <v>0</v>
      </c>
      <c r="AY708" s="237">
        <f>NGT_SO!AY109</f>
        <v>0</v>
      </c>
      <c r="AZ708" s="44"/>
      <c r="BA708" s="44" t="str">
        <f t="shared" ca="1" si="116"/>
        <v>VariantAllowances</v>
      </c>
      <c r="BB708" s="44" t="str">
        <f t="shared" si="114"/>
        <v>SO variant allowances</v>
      </c>
      <c r="BC708" s="44" t="str">
        <f t="shared" si="115"/>
        <v>Variant allowances percentage allocation</v>
      </c>
    </row>
    <row r="709" spans="1:55" s="9" customFormat="1">
      <c r="B709" s="8"/>
      <c r="C709"/>
      <c r="D709"/>
      <c r="E709" s="201" t="str">
        <f>NGT_SO!E110</f>
        <v>Funded Incremental Obligated Capacity Price Control Deliverable</v>
      </c>
      <c r="F709" s="225"/>
      <c r="G709" s="202" t="s">
        <v>33</v>
      </c>
      <c r="H709" s="202" t="str">
        <f>NGT_SO!H110</f>
        <v>Controllable opex</v>
      </c>
      <c r="I709" s="202"/>
      <c r="J709" s="202"/>
      <c r="K709" s="202"/>
      <c r="L709" s="202"/>
      <c r="M709" s="202"/>
      <c r="N709" s="202"/>
      <c r="O709" s="202"/>
      <c r="P709" s="202"/>
      <c r="Q709" s="202"/>
      <c r="R709" s="202"/>
      <c r="S709" s="202"/>
      <c r="T709" s="202"/>
      <c r="U709" s="202"/>
      <c r="V709" s="202"/>
      <c r="W709" s="202"/>
      <c r="X709" s="202"/>
      <c r="Y709" s="202"/>
      <c r="Z709" s="202"/>
      <c r="AA709" s="202"/>
      <c r="AB709" s="202"/>
      <c r="AC709" s="202"/>
      <c r="AD709" s="202"/>
      <c r="AE709" s="202"/>
      <c r="AF709" s="202"/>
      <c r="AG709" s="202"/>
      <c r="AH709" s="202"/>
      <c r="AI709" s="202"/>
      <c r="AJ709" s="202"/>
      <c r="AK709" s="202"/>
      <c r="AL709" s="202"/>
      <c r="AM709" s="202"/>
      <c r="AN709" s="202"/>
      <c r="AO709" s="202"/>
      <c r="AP709" s="202"/>
      <c r="AQ709" s="202"/>
      <c r="AR709" s="202"/>
      <c r="AS709" s="202"/>
      <c r="AT709" s="203"/>
      <c r="AU709" s="238">
        <f>NGT_SO!AU110</f>
        <v>0</v>
      </c>
      <c r="AV709" s="239">
        <f>NGT_SO!AV110</f>
        <v>0</v>
      </c>
      <c r="AW709" s="239">
        <f>NGT_SO!AW110</f>
        <v>0</v>
      </c>
      <c r="AX709" s="239">
        <f>NGT_SO!AX110</f>
        <v>0</v>
      </c>
      <c r="AY709" s="240">
        <f>NGT_SO!AY110</f>
        <v>0</v>
      </c>
      <c r="AZ709" s="44"/>
      <c r="BA709" s="44" t="str">
        <f t="shared" ca="1" si="116"/>
        <v>VariantAllowances</v>
      </c>
      <c r="BB709" s="44" t="str">
        <f t="shared" si="114"/>
        <v>SO variant allowances</v>
      </c>
      <c r="BC709" s="44" t="str">
        <f t="shared" si="115"/>
        <v>Variant allowances percentage allocation</v>
      </c>
    </row>
    <row r="710" spans="1:55" s="9" customFormat="1">
      <c r="B710" s="8"/>
      <c r="C710"/>
      <c r="D710"/>
      <c r="E710" s="195" t="str">
        <f>NGT_SO!E111</f>
        <v>Funded Incremental Obligated Capacity Price Control Deliverable -Re-Opener Element</v>
      </c>
      <c r="F710" s="221"/>
      <c r="G710" s="196" t="s">
        <v>33</v>
      </c>
      <c r="H710" s="196" t="str">
        <f>NGT_SO!H111</f>
        <v>Non-operational capex</v>
      </c>
      <c r="I710" s="196"/>
      <c r="J710" s="196"/>
      <c r="K710" s="196"/>
      <c r="L710" s="196"/>
      <c r="M710" s="196"/>
      <c r="N710" s="196"/>
      <c r="O710" s="196"/>
      <c r="P710" s="196"/>
      <c r="Q710" s="196"/>
      <c r="R710" s="196"/>
      <c r="S710" s="196"/>
      <c r="T710" s="196"/>
      <c r="U710" s="196"/>
      <c r="V710" s="196"/>
      <c r="W710" s="196"/>
      <c r="X710" s="196"/>
      <c r="Y710" s="196"/>
      <c r="Z710" s="196"/>
      <c r="AA710" s="196"/>
      <c r="AB710" s="196"/>
      <c r="AC710" s="196"/>
      <c r="AD710" s="196"/>
      <c r="AE710" s="196"/>
      <c r="AF710" s="196"/>
      <c r="AG710" s="196"/>
      <c r="AH710" s="196"/>
      <c r="AI710" s="196"/>
      <c r="AJ710" s="196"/>
      <c r="AK710" s="196"/>
      <c r="AL710" s="196"/>
      <c r="AM710" s="196"/>
      <c r="AN710" s="196"/>
      <c r="AO710" s="196"/>
      <c r="AP710" s="196"/>
      <c r="AQ710" s="196"/>
      <c r="AR710" s="196"/>
      <c r="AS710" s="196"/>
      <c r="AT710" s="197"/>
      <c r="AU710" s="235">
        <f>NGT_SO!AU111</f>
        <v>0</v>
      </c>
      <c r="AV710" s="236">
        <f>NGT_SO!AV111</f>
        <v>0</v>
      </c>
      <c r="AW710" s="236">
        <f>NGT_SO!AW111</f>
        <v>0</v>
      </c>
      <c r="AX710" s="236">
        <f>NGT_SO!AX111</f>
        <v>0</v>
      </c>
      <c r="AY710" s="237">
        <f>NGT_SO!AY111</f>
        <v>0</v>
      </c>
      <c r="AZ710" s="44"/>
      <c r="BA710" s="44" t="str">
        <f t="shared" ca="1" si="116"/>
        <v>VariantAllowances</v>
      </c>
      <c r="BB710" s="44" t="str">
        <f t="shared" si="114"/>
        <v>SO variant allowances</v>
      </c>
      <c r="BC710" s="44" t="str">
        <f t="shared" si="115"/>
        <v>Variant allowances percentage allocation</v>
      </c>
    </row>
    <row r="711" spans="1:55" s="9" customFormat="1">
      <c r="B711" s="8"/>
      <c r="C711"/>
      <c r="D711"/>
      <c r="E711" s="201" t="str">
        <f>NGT_SO!E112</f>
        <v>Funded Incremental Obligated Capacity Price Control Deliverable -Re-Opener Element</v>
      </c>
      <c r="F711" s="225"/>
      <c r="G711" s="202" t="s">
        <v>33</v>
      </c>
      <c r="H711" s="202" t="str">
        <f>NGT_SO!H112</f>
        <v>Controllable opex</v>
      </c>
      <c r="I711" s="202"/>
      <c r="J711" s="202"/>
      <c r="K711" s="202"/>
      <c r="L711" s="202"/>
      <c r="M711" s="202"/>
      <c r="N711" s="202"/>
      <c r="O711" s="202"/>
      <c r="P711" s="202"/>
      <c r="Q711" s="202"/>
      <c r="R711" s="202"/>
      <c r="S711" s="202"/>
      <c r="T711" s="202"/>
      <c r="U711" s="202"/>
      <c r="V711" s="202"/>
      <c r="W711" s="202"/>
      <c r="X711" s="202"/>
      <c r="Y711" s="202"/>
      <c r="Z711" s="202"/>
      <c r="AA711" s="202"/>
      <c r="AB711" s="202"/>
      <c r="AC711" s="202"/>
      <c r="AD711" s="202"/>
      <c r="AE711" s="202"/>
      <c r="AF711" s="202"/>
      <c r="AG711" s="202"/>
      <c r="AH711" s="202"/>
      <c r="AI711" s="202"/>
      <c r="AJ711" s="202"/>
      <c r="AK711" s="202"/>
      <c r="AL711" s="202"/>
      <c r="AM711" s="202"/>
      <c r="AN711" s="202"/>
      <c r="AO711" s="202"/>
      <c r="AP711" s="202"/>
      <c r="AQ711" s="202"/>
      <c r="AR711" s="202"/>
      <c r="AS711" s="202"/>
      <c r="AT711" s="203"/>
      <c r="AU711" s="238">
        <f>NGT_SO!AU112</f>
        <v>0</v>
      </c>
      <c r="AV711" s="239">
        <f>NGT_SO!AV112</f>
        <v>0</v>
      </c>
      <c r="AW711" s="239">
        <f>NGT_SO!AW112</f>
        <v>0</v>
      </c>
      <c r="AX711" s="239">
        <f>NGT_SO!AX112</f>
        <v>0</v>
      </c>
      <c r="AY711" s="240">
        <f>NGT_SO!AY112</f>
        <v>0</v>
      </c>
      <c r="AZ711" s="44"/>
      <c r="BA711" s="44" t="str">
        <f t="shared" ca="1" si="116"/>
        <v>VariantAllowances</v>
      </c>
      <c r="BB711" s="44" t="str">
        <f t="shared" si="114"/>
        <v>SO variant allowances</v>
      </c>
      <c r="BC711" s="44" t="str">
        <f t="shared" si="115"/>
        <v>Variant allowances percentage allocation</v>
      </c>
    </row>
    <row r="712" spans="1:55" s="9" customFormat="1">
      <c r="A712" s="8"/>
      <c r="B712" s="8"/>
      <c r="C712"/>
      <c r="D712"/>
      <c r="E712" s="195" t="str">
        <f>NGT_SO!E113</f>
        <v xml:space="preserve">Office, gas national control centre and emergency control room relocation Re-opener </v>
      </c>
      <c r="F712" s="221"/>
      <c r="G712" s="196" t="s">
        <v>33</v>
      </c>
      <c r="H712" s="196" t="str">
        <f>NGT_SO!H113</f>
        <v>Non-operational capex</v>
      </c>
      <c r="I712" s="196"/>
      <c r="J712" s="196"/>
      <c r="K712" s="196"/>
      <c r="L712" s="196"/>
      <c r="M712" s="196"/>
      <c r="N712" s="196"/>
      <c r="O712" s="196"/>
      <c r="P712" s="196"/>
      <c r="Q712" s="196"/>
      <c r="R712" s="196"/>
      <c r="S712" s="196"/>
      <c r="T712" s="196"/>
      <c r="U712" s="196"/>
      <c r="V712" s="196"/>
      <c r="W712" s="196"/>
      <c r="X712" s="196"/>
      <c r="Y712" s="196"/>
      <c r="Z712" s="196"/>
      <c r="AA712" s="196"/>
      <c r="AB712" s="196"/>
      <c r="AC712" s="196"/>
      <c r="AD712" s="196"/>
      <c r="AE712" s="196"/>
      <c r="AF712" s="196"/>
      <c r="AG712" s="196"/>
      <c r="AH712" s="196"/>
      <c r="AI712" s="196"/>
      <c r="AJ712" s="196"/>
      <c r="AK712" s="196"/>
      <c r="AL712" s="196"/>
      <c r="AM712" s="196"/>
      <c r="AN712" s="196"/>
      <c r="AO712" s="196"/>
      <c r="AP712" s="196"/>
      <c r="AQ712" s="196"/>
      <c r="AR712" s="196"/>
      <c r="AS712" s="196"/>
      <c r="AT712" s="197"/>
      <c r="AU712" s="235">
        <f>NGT_SO!AU113</f>
        <v>1</v>
      </c>
      <c r="AV712" s="236">
        <f>NGT_SO!AV113</f>
        <v>1</v>
      </c>
      <c r="AW712" s="236">
        <f>NGT_SO!AW113</f>
        <v>0.98761166238074205</v>
      </c>
      <c r="AX712" s="236">
        <f>NGT_SO!AX113</f>
        <v>0.65655674699725997</v>
      </c>
      <c r="AY712" s="237">
        <f>NGT_SO!AY113</f>
        <v>0.14489659464143473</v>
      </c>
      <c r="AZ712" s="44"/>
      <c r="BA712" s="44" t="str">
        <f t="shared" ca="1" si="116"/>
        <v>VariantAllowances</v>
      </c>
      <c r="BB712" s="44" t="str">
        <f t="shared" si="114"/>
        <v>SO variant allowances</v>
      </c>
      <c r="BC712" s="44" t="str">
        <f t="shared" si="115"/>
        <v>Variant allowances percentage allocation</v>
      </c>
    </row>
    <row r="713" spans="1:55" s="9" customFormat="1">
      <c r="A713" s="8"/>
      <c r="B713" s="8"/>
      <c r="C713"/>
      <c r="D713"/>
      <c r="E713" s="201" t="str">
        <f>NGT_SO!E114</f>
        <v xml:space="preserve">Office, gas national control centre and emergency control room relocation Re-opener </v>
      </c>
      <c r="F713" s="225"/>
      <c r="G713" s="202" t="s">
        <v>33</v>
      </c>
      <c r="H713" s="202" t="str">
        <f>NGT_SO!H114</f>
        <v>Controllable opex</v>
      </c>
      <c r="I713" s="202"/>
      <c r="J713" s="202"/>
      <c r="K713" s="202"/>
      <c r="L713" s="202"/>
      <c r="M713" s="202"/>
      <c r="N713" s="202"/>
      <c r="O713" s="202"/>
      <c r="P713" s="202"/>
      <c r="Q713" s="202"/>
      <c r="R713" s="202"/>
      <c r="S713" s="202"/>
      <c r="T713" s="202"/>
      <c r="U713" s="202"/>
      <c r="V713" s="202"/>
      <c r="W713" s="202"/>
      <c r="X713" s="202"/>
      <c r="Y713" s="202"/>
      <c r="Z713" s="202"/>
      <c r="AA713" s="202"/>
      <c r="AB713" s="202"/>
      <c r="AC713" s="202"/>
      <c r="AD713" s="202"/>
      <c r="AE713" s="202"/>
      <c r="AF713" s="202"/>
      <c r="AG713" s="202"/>
      <c r="AH713" s="202"/>
      <c r="AI713" s="202"/>
      <c r="AJ713" s="202"/>
      <c r="AK713" s="202"/>
      <c r="AL713" s="202"/>
      <c r="AM713" s="202"/>
      <c r="AN713" s="202"/>
      <c r="AO713" s="202"/>
      <c r="AP713" s="202"/>
      <c r="AQ713" s="202"/>
      <c r="AR713" s="202"/>
      <c r="AS713" s="202"/>
      <c r="AT713" s="203"/>
      <c r="AU713" s="238">
        <f>NGT_SO!AU114</f>
        <v>0</v>
      </c>
      <c r="AV713" s="239">
        <f>NGT_SO!AV114</f>
        <v>0</v>
      </c>
      <c r="AW713" s="239">
        <f>NGT_SO!AW114</f>
        <v>1.2388337619257872E-2</v>
      </c>
      <c r="AX713" s="239">
        <f>NGT_SO!AX114</f>
        <v>0.34344325300273998</v>
      </c>
      <c r="AY713" s="240">
        <f>NGT_SO!AY114</f>
        <v>0.85510340535856522</v>
      </c>
      <c r="AZ713" s="44"/>
      <c r="BA713" s="44" t="str">
        <f t="shared" ca="1" si="116"/>
        <v>VariantAllowances</v>
      </c>
      <c r="BB713" s="44" t="str">
        <f t="shared" si="114"/>
        <v>SO variant allowances</v>
      </c>
      <c r="BC713" s="44" t="str">
        <f t="shared" si="115"/>
        <v>Variant allowances percentage allocation</v>
      </c>
    </row>
    <row r="714" spans="1:55" s="9" customFormat="1">
      <c r="A714" s="8"/>
      <c r="B714" s="8"/>
      <c r="C714"/>
      <c r="D714"/>
      <c r="E714" s="195" t="str">
        <f>NGT_SO!E115</f>
        <v>Network decarbonisation and emissions compliance Re-opener</v>
      </c>
      <c r="F714" s="221"/>
      <c r="G714" s="196" t="s">
        <v>33</v>
      </c>
      <c r="H714" s="196" t="str">
        <f>NGT_SO!H115</f>
        <v>Non-operational capex</v>
      </c>
      <c r="I714" s="196"/>
      <c r="J714" s="196"/>
      <c r="K714" s="196"/>
      <c r="L714" s="196"/>
      <c r="M714" s="196"/>
      <c r="N714" s="196"/>
      <c r="O714" s="196"/>
      <c r="P714" s="196"/>
      <c r="Q714" s="196"/>
      <c r="R714" s="196"/>
      <c r="S714" s="196"/>
      <c r="T714" s="196"/>
      <c r="U714" s="196"/>
      <c r="V714" s="196"/>
      <c r="W714" s="196"/>
      <c r="X714" s="196"/>
      <c r="Y714" s="196"/>
      <c r="Z714" s="196"/>
      <c r="AA714" s="196"/>
      <c r="AB714" s="196"/>
      <c r="AC714" s="196"/>
      <c r="AD714" s="196"/>
      <c r="AE714" s="196"/>
      <c r="AF714" s="196"/>
      <c r="AG714" s="196"/>
      <c r="AH714" s="196"/>
      <c r="AI714" s="196"/>
      <c r="AJ714" s="196"/>
      <c r="AK714" s="196"/>
      <c r="AL714" s="196"/>
      <c r="AM714" s="196"/>
      <c r="AN714" s="196"/>
      <c r="AO714" s="196"/>
      <c r="AP714" s="196"/>
      <c r="AQ714" s="196"/>
      <c r="AR714" s="196"/>
      <c r="AS714" s="196"/>
      <c r="AT714" s="197"/>
      <c r="AU714" s="235">
        <f>NGT_SO!AU115</f>
        <v>0</v>
      </c>
      <c r="AV714" s="236">
        <f>NGT_SO!AV115</f>
        <v>0</v>
      </c>
      <c r="AW714" s="236">
        <f>NGT_SO!AW115</f>
        <v>0</v>
      </c>
      <c r="AX714" s="236">
        <f>NGT_SO!AX115</f>
        <v>0</v>
      </c>
      <c r="AY714" s="237">
        <f>NGT_SO!AY115</f>
        <v>0</v>
      </c>
      <c r="AZ714" s="44"/>
      <c r="BA714" s="44" t="str">
        <f t="shared" ca="1" si="116"/>
        <v>VariantAllowances</v>
      </c>
      <c r="BB714" s="44" t="str">
        <f t="shared" si="114"/>
        <v>SO variant allowances</v>
      </c>
      <c r="BC714" s="44" t="str">
        <f t="shared" si="115"/>
        <v>Variant allowances percentage allocation</v>
      </c>
    </row>
    <row r="715" spans="1:55" s="9" customFormat="1">
      <c r="A715" s="8"/>
      <c r="B715" s="8"/>
      <c r="C715"/>
      <c r="D715"/>
      <c r="E715" s="201" t="str">
        <f>NGT_SO!E116</f>
        <v>Network decarbonisation and emissions compliance Re-opener</v>
      </c>
      <c r="F715" s="225"/>
      <c r="G715" s="202" t="s">
        <v>33</v>
      </c>
      <c r="H715" s="202" t="str">
        <f>NGT_SO!H116</f>
        <v>Controllable opex</v>
      </c>
      <c r="I715" s="202"/>
      <c r="J715" s="202"/>
      <c r="K715" s="202"/>
      <c r="L715" s="202"/>
      <c r="M715" s="202"/>
      <c r="N715" s="202"/>
      <c r="O715" s="202"/>
      <c r="P715" s="202"/>
      <c r="Q715" s="202"/>
      <c r="R715" s="202"/>
      <c r="S715" s="202"/>
      <c r="T715" s="202"/>
      <c r="U715" s="202"/>
      <c r="V715" s="202"/>
      <c r="W715" s="202"/>
      <c r="X715" s="202"/>
      <c r="Y715" s="202"/>
      <c r="Z715" s="202"/>
      <c r="AA715" s="202"/>
      <c r="AB715" s="202"/>
      <c r="AC715" s="202"/>
      <c r="AD715" s="202"/>
      <c r="AE715" s="202"/>
      <c r="AF715" s="202"/>
      <c r="AG715" s="202"/>
      <c r="AH715" s="202"/>
      <c r="AI715" s="202"/>
      <c r="AJ715" s="202"/>
      <c r="AK715" s="202"/>
      <c r="AL715" s="202"/>
      <c r="AM715" s="202"/>
      <c r="AN715" s="202"/>
      <c r="AO715" s="202"/>
      <c r="AP715" s="202"/>
      <c r="AQ715" s="202"/>
      <c r="AR715" s="202"/>
      <c r="AS715" s="202"/>
      <c r="AT715" s="203"/>
      <c r="AU715" s="238">
        <f>NGT_SO!AU116</f>
        <v>0</v>
      </c>
      <c r="AV715" s="239">
        <f>NGT_SO!AV116</f>
        <v>0</v>
      </c>
      <c r="AW715" s="239">
        <f>NGT_SO!AW116</f>
        <v>0</v>
      </c>
      <c r="AX715" s="239">
        <f>NGT_SO!AX116</f>
        <v>0</v>
      </c>
      <c r="AY715" s="240">
        <f>NGT_SO!AY116</f>
        <v>0</v>
      </c>
      <c r="AZ715" s="44"/>
      <c r="BA715" s="44" t="str">
        <f t="shared" ca="1" si="116"/>
        <v>VariantAllowances</v>
      </c>
      <c r="BB715" s="44" t="str">
        <f t="shared" si="114"/>
        <v>SO variant allowances</v>
      </c>
      <c r="BC715" s="44" t="str">
        <f t="shared" si="115"/>
        <v>Variant allowances percentage allocation</v>
      </c>
    </row>
    <row r="716" spans="1:55" s="9" customFormat="1">
      <c r="A716" s="8"/>
      <c r="B716" s="8"/>
      <c r="C716"/>
      <c r="D716"/>
      <c r="E716" s="195" t="str">
        <f>NGT_SO!E117</f>
        <v>Spare 1</v>
      </c>
      <c r="F716" s="221"/>
      <c r="G716" s="196" t="s">
        <v>33</v>
      </c>
      <c r="H716" s="196" t="str">
        <f>NGT_SO!H117</f>
        <v>Non-operational capex</v>
      </c>
      <c r="I716" s="196"/>
      <c r="J716" s="196"/>
      <c r="K716" s="196"/>
      <c r="L716" s="196"/>
      <c r="M716" s="196"/>
      <c r="N716" s="196"/>
      <c r="O716" s="196"/>
      <c r="P716" s="196"/>
      <c r="Q716" s="196"/>
      <c r="R716" s="196"/>
      <c r="S716" s="196"/>
      <c r="T716" s="196"/>
      <c r="U716" s="196"/>
      <c r="V716" s="196"/>
      <c r="W716" s="196"/>
      <c r="X716" s="196"/>
      <c r="Y716" s="196"/>
      <c r="Z716" s="196"/>
      <c r="AA716" s="196"/>
      <c r="AB716" s="196"/>
      <c r="AC716" s="196"/>
      <c r="AD716" s="196"/>
      <c r="AE716" s="196"/>
      <c r="AF716" s="196"/>
      <c r="AG716" s="196"/>
      <c r="AH716" s="196"/>
      <c r="AI716" s="196"/>
      <c r="AJ716" s="196"/>
      <c r="AK716" s="196"/>
      <c r="AL716" s="196"/>
      <c r="AM716" s="196"/>
      <c r="AN716" s="196"/>
      <c r="AO716" s="196"/>
      <c r="AP716" s="196"/>
      <c r="AQ716" s="196"/>
      <c r="AR716" s="196"/>
      <c r="AS716" s="196"/>
      <c r="AT716" s="197"/>
      <c r="AU716" s="235">
        <f>NGT_SO!AU117</f>
        <v>0</v>
      </c>
      <c r="AV716" s="236">
        <f>NGT_SO!AV117</f>
        <v>0</v>
      </c>
      <c r="AW716" s="236">
        <f>NGT_SO!AW117</f>
        <v>0</v>
      </c>
      <c r="AX716" s="236">
        <f>NGT_SO!AX117</f>
        <v>0</v>
      </c>
      <c r="AY716" s="237">
        <f>NGT_SO!AY117</f>
        <v>0</v>
      </c>
      <c r="AZ716" s="44"/>
      <c r="BA716" s="44" t="str">
        <f t="shared" ca="1" si="116"/>
        <v>VariantAllowances</v>
      </c>
      <c r="BB716" s="44" t="str">
        <f t="shared" si="114"/>
        <v>SO variant allowances</v>
      </c>
      <c r="BC716" s="44" t="str">
        <f t="shared" si="115"/>
        <v>Variant allowances percentage allocation</v>
      </c>
    </row>
    <row r="717" spans="1:55" s="9" customFormat="1">
      <c r="A717" s="8"/>
      <c r="B717" s="8"/>
      <c r="C717"/>
      <c r="D717"/>
      <c r="E717" s="201" t="str">
        <f>NGT_SO!E118</f>
        <v>Spare 1</v>
      </c>
      <c r="F717" s="225"/>
      <c r="G717" s="202" t="s">
        <v>33</v>
      </c>
      <c r="H717" s="202" t="str">
        <f>NGT_SO!H118</f>
        <v>Controllable opex</v>
      </c>
      <c r="I717" s="202"/>
      <c r="J717" s="202"/>
      <c r="K717" s="202"/>
      <c r="L717" s="202"/>
      <c r="M717" s="202"/>
      <c r="N717" s="202"/>
      <c r="O717" s="202"/>
      <c r="P717" s="202"/>
      <c r="Q717" s="202"/>
      <c r="R717" s="202"/>
      <c r="S717" s="202"/>
      <c r="T717" s="202"/>
      <c r="U717" s="202"/>
      <c r="V717" s="202"/>
      <c r="W717" s="202"/>
      <c r="X717" s="202"/>
      <c r="Y717" s="202"/>
      <c r="Z717" s="202"/>
      <c r="AA717" s="202"/>
      <c r="AB717" s="202"/>
      <c r="AC717" s="202"/>
      <c r="AD717" s="202"/>
      <c r="AE717" s="202"/>
      <c r="AF717" s="202"/>
      <c r="AG717" s="202"/>
      <c r="AH717" s="202"/>
      <c r="AI717" s="202"/>
      <c r="AJ717" s="202"/>
      <c r="AK717" s="202"/>
      <c r="AL717" s="202"/>
      <c r="AM717" s="202"/>
      <c r="AN717" s="202"/>
      <c r="AO717" s="202"/>
      <c r="AP717" s="202"/>
      <c r="AQ717" s="202"/>
      <c r="AR717" s="202"/>
      <c r="AS717" s="202"/>
      <c r="AT717" s="203"/>
      <c r="AU717" s="238">
        <f>NGT_SO!AU118</f>
        <v>0</v>
      </c>
      <c r="AV717" s="239">
        <f>NGT_SO!AV118</f>
        <v>0</v>
      </c>
      <c r="AW717" s="239">
        <f>NGT_SO!AW118</f>
        <v>0</v>
      </c>
      <c r="AX717" s="239">
        <f>NGT_SO!AX118</f>
        <v>0</v>
      </c>
      <c r="AY717" s="240">
        <f>NGT_SO!AY118</f>
        <v>0</v>
      </c>
      <c r="AZ717" s="44"/>
      <c r="BA717" s="44" t="str">
        <f t="shared" ca="1" si="116"/>
        <v>VariantAllowances</v>
      </c>
      <c r="BB717" s="44" t="str">
        <f t="shared" si="114"/>
        <v>SO variant allowances</v>
      </c>
      <c r="BC717" s="44" t="str">
        <f t="shared" si="115"/>
        <v>Variant allowances percentage allocation</v>
      </c>
    </row>
    <row r="718" spans="1:55" s="9" customFormat="1">
      <c r="A718" s="8"/>
      <c r="B718" s="8"/>
      <c r="C718"/>
      <c r="D718"/>
      <c r="E718" s="195" t="str">
        <f>NGT_SO!E119</f>
        <v>Spare 2</v>
      </c>
      <c r="F718" s="221"/>
      <c r="G718" s="196" t="s">
        <v>33</v>
      </c>
      <c r="H718" s="196" t="str">
        <f>NGT_SO!H119</f>
        <v>Non-operational capex</v>
      </c>
      <c r="I718" s="196"/>
      <c r="J718" s="196"/>
      <c r="K718" s="196"/>
      <c r="L718" s="196"/>
      <c r="M718" s="196"/>
      <c r="N718" s="196"/>
      <c r="O718" s="196"/>
      <c r="P718" s="196"/>
      <c r="Q718" s="196"/>
      <c r="R718" s="196"/>
      <c r="S718" s="196"/>
      <c r="T718" s="196"/>
      <c r="U718" s="196"/>
      <c r="V718" s="196"/>
      <c r="W718" s="196"/>
      <c r="X718" s="196"/>
      <c r="Y718" s="196"/>
      <c r="Z718" s="196"/>
      <c r="AA718" s="196"/>
      <c r="AB718" s="196"/>
      <c r="AC718" s="196"/>
      <c r="AD718" s="196"/>
      <c r="AE718" s="196"/>
      <c r="AF718" s="196"/>
      <c r="AG718" s="196"/>
      <c r="AH718" s="196"/>
      <c r="AI718" s="196"/>
      <c r="AJ718" s="196"/>
      <c r="AK718" s="196"/>
      <c r="AL718" s="196"/>
      <c r="AM718" s="196"/>
      <c r="AN718" s="196"/>
      <c r="AO718" s="196"/>
      <c r="AP718" s="196"/>
      <c r="AQ718" s="196"/>
      <c r="AR718" s="196"/>
      <c r="AS718" s="196"/>
      <c r="AT718" s="197"/>
      <c r="AU718" s="235">
        <f>NGT_SO!AU119</f>
        <v>0</v>
      </c>
      <c r="AV718" s="236">
        <f>NGT_SO!AV119</f>
        <v>0</v>
      </c>
      <c r="AW718" s="236">
        <f>NGT_SO!AW119</f>
        <v>0</v>
      </c>
      <c r="AX718" s="236">
        <f>NGT_SO!AX119</f>
        <v>0</v>
      </c>
      <c r="AY718" s="237">
        <f>NGT_SO!AY119</f>
        <v>0</v>
      </c>
      <c r="AZ718" s="44"/>
      <c r="BA718" s="44" t="str">
        <f t="shared" ca="1" si="116"/>
        <v>VariantAllowances</v>
      </c>
      <c r="BB718" s="44" t="str">
        <f t="shared" si="114"/>
        <v>SO variant allowances</v>
      </c>
      <c r="BC718" s="44" t="str">
        <f t="shared" si="115"/>
        <v>Variant allowances percentage allocation</v>
      </c>
    </row>
    <row r="719" spans="1:55" s="9" customFormat="1">
      <c r="A719" s="8"/>
      <c r="B719" s="8"/>
      <c r="C719"/>
      <c r="D719"/>
      <c r="E719" s="201" t="str">
        <f>NGT_SO!E120</f>
        <v>Spare 2</v>
      </c>
      <c r="F719" s="225"/>
      <c r="G719" s="202" t="s">
        <v>33</v>
      </c>
      <c r="H719" s="202" t="str">
        <f>NGT_SO!H120</f>
        <v>Controllable opex</v>
      </c>
      <c r="I719" s="202"/>
      <c r="J719" s="202"/>
      <c r="K719" s="202"/>
      <c r="L719" s="202"/>
      <c r="M719" s="202"/>
      <c r="N719" s="202"/>
      <c r="O719" s="202"/>
      <c r="P719" s="202"/>
      <c r="Q719" s="202"/>
      <c r="R719" s="202"/>
      <c r="S719" s="202"/>
      <c r="T719" s="202"/>
      <c r="U719" s="202"/>
      <c r="V719" s="202"/>
      <c r="W719" s="202"/>
      <c r="X719" s="202"/>
      <c r="Y719" s="202"/>
      <c r="Z719" s="202"/>
      <c r="AA719" s="202"/>
      <c r="AB719" s="202"/>
      <c r="AC719" s="202"/>
      <c r="AD719" s="202"/>
      <c r="AE719" s="202"/>
      <c r="AF719" s="202"/>
      <c r="AG719" s="202"/>
      <c r="AH719" s="202"/>
      <c r="AI719" s="202"/>
      <c r="AJ719" s="202"/>
      <c r="AK719" s="202"/>
      <c r="AL719" s="202"/>
      <c r="AM719" s="202"/>
      <c r="AN719" s="202"/>
      <c r="AO719" s="202"/>
      <c r="AP719" s="202"/>
      <c r="AQ719" s="202"/>
      <c r="AR719" s="202"/>
      <c r="AS719" s="202"/>
      <c r="AT719" s="203"/>
      <c r="AU719" s="238">
        <f>NGT_SO!AU120</f>
        <v>0</v>
      </c>
      <c r="AV719" s="239">
        <f>NGT_SO!AV120</f>
        <v>0</v>
      </c>
      <c r="AW719" s="239">
        <f>NGT_SO!AW120</f>
        <v>0</v>
      </c>
      <c r="AX719" s="239">
        <f>NGT_SO!AX120</f>
        <v>0</v>
      </c>
      <c r="AY719" s="240">
        <f>NGT_SO!AY120</f>
        <v>0</v>
      </c>
      <c r="AZ719" s="44"/>
      <c r="BA719" s="44" t="str">
        <f t="shared" ca="1" si="116"/>
        <v>VariantAllowances</v>
      </c>
      <c r="BB719" s="44" t="str">
        <f t="shared" si="114"/>
        <v>SO variant allowances</v>
      </c>
      <c r="BC719" s="44" t="str">
        <f t="shared" si="115"/>
        <v>Variant allowances percentage allocation</v>
      </c>
    </row>
    <row r="720" spans="1:55" s="9" customFormat="1">
      <c r="A720" s="8"/>
      <c r="B720" s="8"/>
      <c r="C720"/>
      <c r="D720"/>
      <c r="E720" s="195" t="str">
        <f>NGT_SO!E121</f>
        <v>Spare 3</v>
      </c>
      <c r="F720" s="221"/>
      <c r="G720" s="196" t="s">
        <v>33</v>
      </c>
      <c r="H720" s="196" t="str">
        <f>NGT_SO!H121</f>
        <v>Non-operational capex</v>
      </c>
      <c r="I720" s="196"/>
      <c r="J720" s="196"/>
      <c r="K720" s="196"/>
      <c r="L720" s="196"/>
      <c r="M720" s="196"/>
      <c r="N720" s="196"/>
      <c r="O720" s="196"/>
      <c r="P720" s="196"/>
      <c r="Q720" s="196"/>
      <c r="R720" s="196"/>
      <c r="S720" s="196"/>
      <c r="T720" s="196"/>
      <c r="U720" s="196"/>
      <c r="V720" s="196"/>
      <c r="W720" s="196"/>
      <c r="X720" s="196"/>
      <c r="Y720" s="196"/>
      <c r="Z720" s="196"/>
      <c r="AA720" s="196"/>
      <c r="AB720" s="196"/>
      <c r="AC720" s="196"/>
      <c r="AD720" s="196"/>
      <c r="AE720" s="196"/>
      <c r="AF720" s="196"/>
      <c r="AG720" s="196"/>
      <c r="AH720" s="196"/>
      <c r="AI720" s="196"/>
      <c r="AJ720" s="196"/>
      <c r="AK720" s="196"/>
      <c r="AL720" s="196"/>
      <c r="AM720" s="196"/>
      <c r="AN720" s="196"/>
      <c r="AO720" s="196"/>
      <c r="AP720" s="196"/>
      <c r="AQ720" s="196"/>
      <c r="AR720" s="196"/>
      <c r="AS720" s="196"/>
      <c r="AT720" s="197"/>
      <c r="AU720" s="235">
        <f>NGT_SO!AU121</f>
        <v>0</v>
      </c>
      <c r="AV720" s="236">
        <f>NGT_SO!AV121</f>
        <v>0</v>
      </c>
      <c r="AW720" s="236">
        <f>NGT_SO!AW121</f>
        <v>0</v>
      </c>
      <c r="AX720" s="236">
        <f>NGT_SO!AX121</f>
        <v>0</v>
      </c>
      <c r="AY720" s="237">
        <f>NGT_SO!AY121</f>
        <v>0</v>
      </c>
      <c r="AZ720" s="44"/>
      <c r="BA720" s="44" t="str">
        <f t="shared" ca="1" si="116"/>
        <v>VariantAllowances</v>
      </c>
      <c r="BB720" s="44" t="str">
        <f t="shared" si="114"/>
        <v>SO variant allowances</v>
      </c>
      <c r="BC720" s="44" t="str">
        <f t="shared" si="115"/>
        <v>Variant allowances percentage allocation</v>
      </c>
    </row>
    <row r="721" spans="1:55" s="9" customFormat="1">
      <c r="A721" s="8"/>
      <c r="B721" s="8"/>
      <c r="C721"/>
      <c r="D721"/>
      <c r="E721" s="201" t="str">
        <f>NGT_SO!E122</f>
        <v>Spare 3</v>
      </c>
      <c r="F721" s="225"/>
      <c r="G721" s="202" t="s">
        <v>33</v>
      </c>
      <c r="H721" s="202" t="str">
        <f>NGT_SO!H122</f>
        <v>Controllable opex</v>
      </c>
      <c r="I721" s="202"/>
      <c r="J721" s="202"/>
      <c r="K721" s="202"/>
      <c r="L721" s="202"/>
      <c r="M721" s="202"/>
      <c r="N721" s="202"/>
      <c r="O721" s="202"/>
      <c r="P721" s="202"/>
      <c r="Q721" s="202"/>
      <c r="R721" s="202"/>
      <c r="S721" s="202"/>
      <c r="T721" s="202"/>
      <c r="U721" s="202"/>
      <c r="V721" s="202"/>
      <c r="W721" s="202"/>
      <c r="X721" s="202"/>
      <c r="Y721" s="202"/>
      <c r="Z721" s="202"/>
      <c r="AA721" s="202"/>
      <c r="AB721" s="202"/>
      <c r="AC721" s="202"/>
      <c r="AD721" s="202"/>
      <c r="AE721" s="202"/>
      <c r="AF721" s="202"/>
      <c r="AG721" s="202"/>
      <c r="AH721" s="202"/>
      <c r="AI721" s="202"/>
      <c r="AJ721" s="202"/>
      <c r="AK721" s="202"/>
      <c r="AL721" s="202"/>
      <c r="AM721" s="202"/>
      <c r="AN721" s="202"/>
      <c r="AO721" s="202"/>
      <c r="AP721" s="202"/>
      <c r="AQ721" s="202"/>
      <c r="AR721" s="202"/>
      <c r="AS721" s="202"/>
      <c r="AT721" s="203"/>
      <c r="AU721" s="238">
        <f>NGT_SO!AU122</f>
        <v>0</v>
      </c>
      <c r="AV721" s="239">
        <f>NGT_SO!AV122</f>
        <v>0</v>
      </c>
      <c r="AW721" s="239">
        <f>NGT_SO!AW122</f>
        <v>0</v>
      </c>
      <c r="AX721" s="239">
        <f>NGT_SO!AX122</f>
        <v>0</v>
      </c>
      <c r="AY721" s="240">
        <f>NGT_SO!AY122</f>
        <v>0</v>
      </c>
      <c r="AZ721" s="44"/>
      <c r="BA721" s="44" t="str">
        <f t="shared" ca="1" si="116"/>
        <v>VariantAllowances</v>
      </c>
      <c r="BB721" s="44" t="str">
        <f t="shared" si="114"/>
        <v>SO variant allowances</v>
      </c>
      <c r="BC721" s="44" t="str">
        <f t="shared" si="115"/>
        <v>Variant allowances percentage allocation</v>
      </c>
    </row>
    <row r="722" spans="1:55" s="9" customFormat="1">
      <c r="A722" s="8"/>
      <c r="B722" s="8"/>
      <c r="C722"/>
      <c r="D722"/>
      <c r="E722" s="195" t="str">
        <f>NGT_SO!E123</f>
        <v>Spare 4</v>
      </c>
      <c r="F722" s="221"/>
      <c r="G722" s="196" t="s">
        <v>33</v>
      </c>
      <c r="H722" s="196" t="str">
        <f>NGT_SO!H123</f>
        <v>Non-operational capex</v>
      </c>
      <c r="I722" s="196"/>
      <c r="J722" s="196"/>
      <c r="K722" s="196"/>
      <c r="L722" s="196"/>
      <c r="M722" s="196"/>
      <c r="N722" s="196"/>
      <c r="O722" s="196"/>
      <c r="P722" s="196"/>
      <c r="Q722" s="196"/>
      <c r="R722" s="196"/>
      <c r="S722" s="196"/>
      <c r="T722" s="196"/>
      <c r="U722" s="196"/>
      <c r="V722" s="196"/>
      <c r="W722" s="196"/>
      <c r="X722" s="196"/>
      <c r="Y722" s="196"/>
      <c r="Z722" s="196"/>
      <c r="AA722" s="196"/>
      <c r="AB722" s="196"/>
      <c r="AC722" s="196"/>
      <c r="AD722" s="196"/>
      <c r="AE722" s="196"/>
      <c r="AF722" s="196"/>
      <c r="AG722" s="196"/>
      <c r="AH722" s="196"/>
      <c r="AI722" s="196"/>
      <c r="AJ722" s="196"/>
      <c r="AK722" s="196"/>
      <c r="AL722" s="196"/>
      <c r="AM722" s="196"/>
      <c r="AN722" s="196"/>
      <c r="AO722" s="196"/>
      <c r="AP722" s="196"/>
      <c r="AQ722" s="196"/>
      <c r="AR722" s="196"/>
      <c r="AS722" s="196"/>
      <c r="AT722" s="197"/>
      <c r="AU722" s="235">
        <f>NGT_SO!AU123</f>
        <v>0</v>
      </c>
      <c r="AV722" s="236">
        <f>NGT_SO!AV123</f>
        <v>0</v>
      </c>
      <c r="AW722" s="236">
        <f>NGT_SO!AW123</f>
        <v>0</v>
      </c>
      <c r="AX722" s="236">
        <f>NGT_SO!AX123</f>
        <v>0</v>
      </c>
      <c r="AY722" s="237">
        <f>NGT_SO!AY123</f>
        <v>0</v>
      </c>
      <c r="AZ722" s="44"/>
      <c r="BA722" s="44" t="str">
        <f t="shared" ca="1" si="116"/>
        <v>VariantAllowances</v>
      </c>
      <c r="BB722" s="44" t="str">
        <f t="shared" si="114"/>
        <v>SO variant allowances</v>
      </c>
      <c r="BC722" s="44" t="str">
        <f t="shared" si="115"/>
        <v>Variant allowances percentage allocation</v>
      </c>
    </row>
    <row r="723" spans="1:55" s="9" customFormat="1">
      <c r="A723" s="8"/>
      <c r="B723" s="8"/>
      <c r="C723"/>
      <c r="D723"/>
      <c r="E723" s="201" t="str">
        <f>NGT_SO!E124</f>
        <v>Spare 4</v>
      </c>
      <c r="F723" s="225"/>
      <c r="G723" s="202" t="s">
        <v>33</v>
      </c>
      <c r="H723" s="202" t="str">
        <f>NGT_SO!H124</f>
        <v>Controllable opex</v>
      </c>
      <c r="I723" s="202"/>
      <c r="J723" s="202"/>
      <c r="K723" s="202"/>
      <c r="L723" s="202"/>
      <c r="M723" s="202"/>
      <c r="N723" s="202"/>
      <c r="O723" s="202"/>
      <c r="P723" s="202"/>
      <c r="Q723" s="202"/>
      <c r="R723" s="202"/>
      <c r="S723" s="202"/>
      <c r="T723" s="202"/>
      <c r="U723" s="202"/>
      <c r="V723" s="202"/>
      <c r="W723" s="202"/>
      <c r="X723" s="202"/>
      <c r="Y723" s="202"/>
      <c r="Z723" s="202"/>
      <c r="AA723" s="202"/>
      <c r="AB723" s="202"/>
      <c r="AC723" s="202"/>
      <c r="AD723" s="202"/>
      <c r="AE723" s="202"/>
      <c r="AF723" s="202"/>
      <c r="AG723" s="202"/>
      <c r="AH723" s="202"/>
      <c r="AI723" s="202"/>
      <c r="AJ723" s="202"/>
      <c r="AK723" s="202"/>
      <c r="AL723" s="202"/>
      <c r="AM723" s="202"/>
      <c r="AN723" s="202"/>
      <c r="AO723" s="202"/>
      <c r="AP723" s="202"/>
      <c r="AQ723" s="202"/>
      <c r="AR723" s="202"/>
      <c r="AS723" s="202"/>
      <c r="AT723" s="203"/>
      <c r="AU723" s="238">
        <f>NGT_SO!AU124</f>
        <v>0</v>
      </c>
      <c r="AV723" s="239">
        <f>NGT_SO!AV124</f>
        <v>0</v>
      </c>
      <c r="AW723" s="239">
        <f>NGT_SO!AW124</f>
        <v>0</v>
      </c>
      <c r="AX723" s="239">
        <f>NGT_SO!AX124</f>
        <v>0</v>
      </c>
      <c r="AY723" s="240">
        <f>NGT_SO!AY124</f>
        <v>0</v>
      </c>
      <c r="AZ723" s="44"/>
      <c r="BA723" s="44" t="str">
        <f t="shared" ca="1" si="116"/>
        <v>VariantAllowances</v>
      </c>
      <c r="BB723" s="44" t="str">
        <f t="shared" si="114"/>
        <v>SO variant allowances</v>
      </c>
      <c r="BC723" s="44" t="str">
        <f t="shared" si="115"/>
        <v>Variant allowances percentage allocation</v>
      </c>
    </row>
    <row r="724" spans="1:55" s="9" customFormat="1">
      <c r="A724" s="8"/>
      <c r="B724" s="8"/>
      <c r="C724"/>
      <c r="D724"/>
      <c r="E724" s="195" t="str">
        <f>NGT_SO!E125</f>
        <v>Spare 5</v>
      </c>
      <c r="F724" s="221"/>
      <c r="G724" s="196" t="s">
        <v>33</v>
      </c>
      <c r="H724" s="196" t="str">
        <f>NGT_SO!H125</f>
        <v>Non-operational capex</v>
      </c>
      <c r="I724" s="196"/>
      <c r="J724" s="196"/>
      <c r="K724" s="196"/>
      <c r="L724" s="196"/>
      <c r="M724" s="196"/>
      <c r="N724" s="196"/>
      <c r="O724" s="196"/>
      <c r="P724" s="196"/>
      <c r="Q724" s="196"/>
      <c r="R724" s="196"/>
      <c r="S724" s="196"/>
      <c r="T724" s="196"/>
      <c r="U724" s="196"/>
      <c r="V724" s="196"/>
      <c r="W724" s="196"/>
      <c r="X724" s="196"/>
      <c r="Y724" s="196"/>
      <c r="Z724" s="196"/>
      <c r="AA724" s="196"/>
      <c r="AB724" s="196"/>
      <c r="AC724" s="196"/>
      <c r="AD724" s="196"/>
      <c r="AE724" s="196"/>
      <c r="AF724" s="196"/>
      <c r="AG724" s="196"/>
      <c r="AH724" s="196"/>
      <c r="AI724" s="196"/>
      <c r="AJ724" s="196"/>
      <c r="AK724" s="196"/>
      <c r="AL724" s="196"/>
      <c r="AM724" s="196"/>
      <c r="AN724" s="196"/>
      <c r="AO724" s="196"/>
      <c r="AP724" s="196"/>
      <c r="AQ724" s="196"/>
      <c r="AR724" s="196"/>
      <c r="AS724" s="196"/>
      <c r="AT724" s="197"/>
      <c r="AU724" s="235">
        <f>NGT_SO!AU125</f>
        <v>0</v>
      </c>
      <c r="AV724" s="236">
        <f>NGT_SO!AV125</f>
        <v>0</v>
      </c>
      <c r="AW724" s="236">
        <f>NGT_SO!AW125</f>
        <v>0</v>
      </c>
      <c r="AX724" s="236">
        <f>NGT_SO!AX125</f>
        <v>0</v>
      </c>
      <c r="AY724" s="237">
        <f>NGT_SO!AY125</f>
        <v>0</v>
      </c>
      <c r="AZ724" s="44"/>
      <c r="BA724" s="44" t="str">
        <f t="shared" ca="1" si="116"/>
        <v>VariantAllowances</v>
      </c>
      <c r="BB724" s="44" t="str">
        <f t="shared" si="114"/>
        <v>SO variant allowances</v>
      </c>
      <c r="BC724" s="44" t="str">
        <f t="shared" si="115"/>
        <v>Variant allowances percentage allocation</v>
      </c>
    </row>
    <row r="725" spans="1:55" s="9" customFormat="1">
      <c r="A725" s="8"/>
      <c r="B725" s="8"/>
      <c r="C725"/>
      <c r="D725"/>
      <c r="E725" s="201" t="str">
        <f>NGT_SO!E126</f>
        <v>Spare 5</v>
      </c>
      <c r="F725" s="225"/>
      <c r="G725" s="202" t="s">
        <v>33</v>
      </c>
      <c r="H725" s="202" t="str">
        <f>NGT_SO!H126</f>
        <v>Controllable opex</v>
      </c>
      <c r="I725" s="202"/>
      <c r="J725" s="202"/>
      <c r="K725" s="202"/>
      <c r="L725" s="202"/>
      <c r="M725" s="202"/>
      <c r="N725" s="202"/>
      <c r="O725" s="202"/>
      <c r="P725" s="202"/>
      <c r="Q725" s="202"/>
      <c r="R725" s="202"/>
      <c r="S725" s="202"/>
      <c r="T725" s="202"/>
      <c r="U725" s="202"/>
      <c r="V725" s="202"/>
      <c r="W725" s="202"/>
      <c r="X725" s="202"/>
      <c r="Y725" s="202"/>
      <c r="Z725" s="202"/>
      <c r="AA725" s="202"/>
      <c r="AB725" s="202"/>
      <c r="AC725" s="202"/>
      <c r="AD725" s="202"/>
      <c r="AE725" s="202"/>
      <c r="AF725" s="202"/>
      <c r="AG725" s="202"/>
      <c r="AH725" s="202"/>
      <c r="AI725" s="202"/>
      <c r="AJ725" s="202"/>
      <c r="AK725" s="202"/>
      <c r="AL725" s="202"/>
      <c r="AM725" s="202"/>
      <c r="AN725" s="202"/>
      <c r="AO725" s="202"/>
      <c r="AP725" s="202"/>
      <c r="AQ725" s="202"/>
      <c r="AR725" s="202"/>
      <c r="AS725" s="202"/>
      <c r="AT725" s="203"/>
      <c r="AU725" s="238">
        <f>NGT_SO!AU126</f>
        <v>0</v>
      </c>
      <c r="AV725" s="239">
        <f>NGT_SO!AV126</f>
        <v>0</v>
      </c>
      <c r="AW725" s="239">
        <f>NGT_SO!AW126</f>
        <v>0</v>
      </c>
      <c r="AX725" s="239">
        <f>NGT_SO!AX126</f>
        <v>0</v>
      </c>
      <c r="AY725" s="240">
        <f>NGT_SO!AY126</f>
        <v>0</v>
      </c>
      <c r="AZ725" s="44"/>
      <c r="BA725" s="44" t="str">
        <f t="shared" ca="1" si="116"/>
        <v>VariantAllowances</v>
      </c>
      <c r="BB725" s="44" t="str">
        <f t="shared" si="114"/>
        <v>SO variant allowances</v>
      </c>
      <c r="BC725" s="44" t="str">
        <f t="shared" si="115"/>
        <v>Variant allowances percentage allocation</v>
      </c>
    </row>
    <row r="726" spans="1:55" s="9" customFormat="1">
      <c r="A726" s="8"/>
      <c r="B726" s="8"/>
      <c r="C726"/>
      <c r="D726"/>
      <c r="E726" s="195" t="str">
        <f>NGT_SO!E127</f>
        <v>Spare 6</v>
      </c>
      <c r="F726" s="221"/>
      <c r="G726" s="196" t="s">
        <v>33</v>
      </c>
      <c r="H726" s="196" t="str">
        <f>NGT_SO!H127</f>
        <v>Non-operational capex</v>
      </c>
      <c r="I726" s="196"/>
      <c r="J726" s="196"/>
      <c r="K726" s="196"/>
      <c r="L726" s="196"/>
      <c r="M726" s="196"/>
      <c r="N726" s="196"/>
      <c r="O726" s="196"/>
      <c r="P726" s="196"/>
      <c r="Q726" s="196"/>
      <c r="R726" s="196"/>
      <c r="S726" s="196"/>
      <c r="T726" s="196"/>
      <c r="U726" s="196"/>
      <c r="V726" s="196"/>
      <c r="W726" s="196"/>
      <c r="X726" s="196"/>
      <c r="Y726" s="196"/>
      <c r="Z726" s="196"/>
      <c r="AA726" s="196"/>
      <c r="AB726" s="196"/>
      <c r="AC726" s="196"/>
      <c r="AD726" s="196"/>
      <c r="AE726" s="196"/>
      <c r="AF726" s="196"/>
      <c r="AG726" s="196"/>
      <c r="AH726" s="196"/>
      <c r="AI726" s="196"/>
      <c r="AJ726" s="196"/>
      <c r="AK726" s="196"/>
      <c r="AL726" s="196"/>
      <c r="AM726" s="196"/>
      <c r="AN726" s="196"/>
      <c r="AO726" s="196"/>
      <c r="AP726" s="196"/>
      <c r="AQ726" s="196"/>
      <c r="AR726" s="196"/>
      <c r="AS726" s="196"/>
      <c r="AT726" s="197"/>
      <c r="AU726" s="235">
        <f>NGT_SO!AU127</f>
        <v>0</v>
      </c>
      <c r="AV726" s="236">
        <f>NGT_SO!AV127</f>
        <v>0</v>
      </c>
      <c r="AW726" s="236">
        <f>NGT_SO!AW127</f>
        <v>0</v>
      </c>
      <c r="AX726" s="236">
        <f>NGT_SO!AX127</f>
        <v>0</v>
      </c>
      <c r="AY726" s="237">
        <f>NGT_SO!AY127</f>
        <v>0</v>
      </c>
      <c r="AZ726" s="44"/>
      <c r="BA726" s="44" t="str">
        <f t="shared" ca="1" si="116"/>
        <v>VariantAllowances</v>
      </c>
      <c r="BB726" s="44" t="str">
        <f t="shared" si="114"/>
        <v>SO variant allowances</v>
      </c>
      <c r="BC726" s="44" t="str">
        <f t="shared" si="115"/>
        <v>Variant allowances percentage allocation</v>
      </c>
    </row>
    <row r="727" spans="1:55" s="9" customFormat="1">
      <c r="A727" s="8"/>
      <c r="B727" s="8"/>
      <c r="C727"/>
      <c r="D727"/>
      <c r="E727" s="201" t="str">
        <f>NGT_SO!E128</f>
        <v>Spare 6</v>
      </c>
      <c r="F727" s="225"/>
      <c r="G727" s="202" t="s">
        <v>33</v>
      </c>
      <c r="H727" s="202" t="str">
        <f>NGT_SO!H128</f>
        <v>Controllable opex</v>
      </c>
      <c r="I727" s="202"/>
      <c r="J727" s="202"/>
      <c r="K727" s="202"/>
      <c r="L727" s="202"/>
      <c r="M727" s="202"/>
      <c r="N727" s="202"/>
      <c r="O727" s="202"/>
      <c r="P727" s="202"/>
      <c r="Q727" s="202"/>
      <c r="R727" s="202"/>
      <c r="S727" s="202"/>
      <c r="T727" s="202"/>
      <c r="U727" s="202"/>
      <c r="V727" s="202"/>
      <c r="W727" s="202"/>
      <c r="X727" s="202"/>
      <c r="Y727" s="202"/>
      <c r="Z727" s="202"/>
      <c r="AA727" s="202"/>
      <c r="AB727" s="202"/>
      <c r="AC727" s="202"/>
      <c r="AD727" s="202"/>
      <c r="AE727" s="202"/>
      <c r="AF727" s="202"/>
      <c r="AG727" s="202"/>
      <c r="AH727" s="202"/>
      <c r="AI727" s="202"/>
      <c r="AJ727" s="202"/>
      <c r="AK727" s="202"/>
      <c r="AL727" s="202"/>
      <c r="AM727" s="202"/>
      <c r="AN727" s="202"/>
      <c r="AO727" s="202"/>
      <c r="AP727" s="202"/>
      <c r="AQ727" s="202"/>
      <c r="AR727" s="202"/>
      <c r="AS727" s="202"/>
      <c r="AT727" s="203"/>
      <c r="AU727" s="238">
        <f>NGT_SO!AU128</f>
        <v>0</v>
      </c>
      <c r="AV727" s="239">
        <f>NGT_SO!AV128</f>
        <v>0</v>
      </c>
      <c r="AW727" s="239">
        <f>NGT_SO!AW128</f>
        <v>0</v>
      </c>
      <c r="AX727" s="239">
        <f>NGT_SO!AX128</f>
        <v>0</v>
      </c>
      <c r="AY727" s="240">
        <f>NGT_SO!AY128</f>
        <v>0</v>
      </c>
      <c r="AZ727" s="44"/>
      <c r="BA727" s="44" t="str">
        <f t="shared" ca="1" si="116"/>
        <v>VariantAllowances</v>
      </c>
      <c r="BB727" s="44" t="str">
        <f t="shared" si="114"/>
        <v>SO variant allowances</v>
      </c>
      <c r="BC727" s="44" t="str">
        <f t="shared" si="115"/>
        <v>Variant allowances percentage allocation</v>
      </c>
    </row>
    <row r="728" spans="1:55" s="9" customFormat="1">
      <c r="A728" s="8"/>
      <c r="B728" s="8"/>
      <c r="C728"/>
      <c r="D728"/>
      <c r="E728" s="195" t="str">
        <f>NGT_SO!E129</f>
        <v>Spare 7</v>
      </c>
      <c r="F728" s="221"/>
      <c r="G728" s="196" t="s">
        <v>33</v>
      </c>
      <c r="H728" s="196" t="str">
        <f>NGT_SO!H129</f>
        <v>Non-operational capex</v>
      </c>
      <c r="I728" s="196"/>
      <c r="J728" s="196"/>
      <c r="K728" s="196"/>
      <c r="L728" s="196"/>
      <c r="M728" s="196"/>
      <c r="N728" s="196"/>
      <c r="O728" s="196"/>
      <c r="P728" s="196"/>
      <c r="Q728" s="196"/>
      <c r="R728" s="196"/>
      <c r="S728" s="196"/>
      <c r="T728" s="196"/>
      <c r="U728" s="196"/>
      <c r="V728" s="196"/>
      <c r="W728" s="196"/>
      <c r="X728" s="196"/>
      <c r="Y728" s="196"/>
      <c r="Z728" s="196"/>
      <c r="AA728" s="196"/>
      <c r="AB728" s="196"/>
      <c r="AC728" s="196"/>
      <c r="AD728" s="196"/>
      <c r="AE728" s="196"/>
      <c r="AF728" s="196"/>
      <c r="AG728" s="196"/>
      <c r="AH728" s="196"/>
      <c r="AI728" s="196"/>
      <c r="AJ728" s="196"/>
      <c r="AK728" s="196"/>
      <c r="AL728" s="196"/>
      <c r="AM728" s="196"/>
      <c r="AN728" s="196"/>
      <c r="AO728" s="196"/>
      <c r="AP728" s="196"/>
      <c r="AQ728" s="196"/>
      <c r="AR728" s="196"/>
      <c r="AS728" s="196"/>
      <c r="AT728" s="197"/>
      <c r="AU728" s="235">
        <f>NGT_SO!AU129</f>
        <v>0</v>
      </c>
      <c r="AV728" s="236">
        <f>NGT_SO!AV129</f>
        <v>0</v>
      </c>
      <c r="AW728" s="236">
        <f>NGT_SO!AW129</f>
        <v>0</v>
      </c>
      <c r="AX728" s="236">
        <f>NGT_SO!AX129</f>
        <v>0</v>
      </c>
      <c r="AY728" s="237">
        <f>NGT_SO!AY129</f>
        <v>0</v>
      </c>
      <c r="AZ728" s="44"/>
      <c r="BA728" s="44" t="str">
        <f t="shared" ca="1" si="116"/>
        <v>VariantAllowances</v>
      </c>
      <c r="BB728" s="44" t="str">
        <f t="shared" si="114"/>
        <v>SO variant allowances</v>
      </c>
      <c r="BC728" s="44" t="str">
        <f t="shared" si="115"/>
        <v>Variant allowances percentage allocation</v>
      </c>
    </row>
    <row r="729" spans="1:55" s="9" customFormat="1">
      <c r="A729" s="8"/>
      <c r="B729" s="8"/>
      <c r="C729"/>
      <c r="D729"/>
      <c r="E729" s="201" t="str">
        <f>NGT_SO!E130</f>
        <v>Spare 7</v>
      </c>
      <c r="F729" s="225"/>
      <c r="G729" s="202" t="s">
        <v>33</v>
      </c>
      <c r="H729" s="202" t="str">
        <f>NGT_SO!H130</f>
        <v>Controllable opex</v>
      </c>
      <c r="I729" s="202"/>
      <c r="J729" s="202"/>
      <c r="K729" s="202"/>
      <c r="L729" s="202"/>
      <c r="M729" s="202"/>
      <c r="N729" s="202"/>
      <c r="O729" s="202"/>
      <c r="P729" s="202"/>
      <c r="Q729" s="202"/>
      <c r="R729" s="202"/>
      <c r="S729" s="202"/>
      <c r="T729" s="202"/>
      <c r="U729" s="202"/>
      <c r="V729" s="202"/>
      <c r="W729" s="202"/>
      <c r="X729" s="202"/>
      <c r="Y729" s="202"/>
      <c r="Z729" s="202"/>
      <c r="AA729" s="202"/>
      <c r="AB729" s="202"/>
      <c r="AC729" s="202"/>
      <c r="AD729" s="202"/>
      <c r="AE729" s="202"/>
      <c r="AF729" s="202"/>
      <c r="AG729" s="202"/>
      <c r="AH729" s="202"/>
      <c r="AI729" s="202"/>
      <c r="AJ729" s="202"/>
      <c r="AK729" s="202"/>
      <c r="AL729" s="202"/>
      <c r="AM729" s="202"/>
      <c r="AN729" s="202"/>
      <c r="AO729" s="202"/>
      <c r="AP729" s="202"/>
      <c r="AQ729" s="202"/>
      <c r="AR729" s="202"/>
      <c r="AS729" s="202"/>
      <c r="AT729" s="203"/>
      <c r="AU729" s="238">
        <f>NGT_SO!AU130</f>
        <v>0</v>
      </c>
      <c r="AV729" s="239">
        <f>NGT_SO!AV130</f>
        <v>0</v>
      </c>
      <c r="AW729" s="239">
        <f>NGT_SO!AW130</f>
        <v>0</v>
      </c>
      <c r="AX729" s="239">
        <f>NGT_SO!AX130</f>
        <v>0</v>
      </c>
      <c r="AY729" s="240">
        <f>NGT_SO!AY130</f>
        <v>0</v>
      </c>
      <c r="AZ729" s="44"/>
      <c r="BA729" s="44" t="str">
        <f t="shared" ca="1" si="116"/>
        <v>VariantAllowances</v>
      </c>
      <c r="BB729" s="44" t="str">
        <f t="shared" si="114"/>
        <v>SO variant allowances</v>
      </c>
      <c r="BC729" s="44" t="str">
        <f t="shared" si="115"/>
        <v>Variant allowances percentage allocation</v>
      </c>
    </row>
    <row r="730" spans="1:55" customFormat="1" ht="14.5">
      <c r="F730" s="151"/>
      <c r="AT730" s="77"/>
      <c r="BA730" s="44"/>
      <c r="BB730" s="1"/>
      <c r="BC730" s="1"/>
    </row>
    <row r="731" spans="1:55" ht="17.5" thickBot="1">
      <c r="B731" s="11" t="s">
        <v>139</v>
      </c>
      <c r="AZ731" s="44"/>
    </row>
    <row r="732" spans="1:55" ht="16.5" thickTop="1">
      <c r="D732">
        <f t="shared" ref="D732:D763" si="117">INDEX($AY$680:$AY$695,MATCH(E732,$E$680:$E$695,0))</f>
        <v>1</v>
      </c>
      <c r="E732" s="195" t="str">
        <f t="shared" ref="E732:E763" si="118">E698</f>
        <v>Cyber resilience term Price Control Deliverable</v>
      </c>
      <c r="F732" s="221"/>
      <c r="G732" s="196" t="str">
        <f t="shared" ref="G732:G763" si="119">price_label</f>
        <v>£m 23/24 prices</v>
      </c>
      <c r="H732" s="196" t="str">
        <f t="shared" ref="H732:H763" si="120">H698</f>
        <v>Non-operational capex</v>
      </c>
      <c r="I732" s="196"/>
      <c r="J732" s="196"/>
      <c r="K732" s="196"/>
      <c r="L732" s="196"/>
      <c r="M732" s="196"/>
      <c r="N732" s="196"/>
      <c r="O732" s="196"/>
      <c r="P732" s="196"/>
      <c r="Q732" s="196"/>
      <c r="R732" s="196"/>
      <c r="S732" s="196"/>
      <c r="T732" s="196"/>
      <c r="U732" s="196"/>
      <c r="V732" s="196"/>
      <c r="W732" s="196"/>
      <c r="X732" s="196"/>
      <c r="Y732" s="196"/>
      <c r="Z732" s="196"/>
      <c r="AA732" s="196"/>
      <c r="AB732" s="196"/>
      <c r="AC732" s="196"/>
      <c r="AD732" s="196"/>
      <c r="AE732" s="196"/>
      <c r="AF732" s="196"/>
      <c r="AG732" s="196"/>
      <c r="AH732" s="196"/>
      <c r="AI732" s="196"/>
      <c r="AJ732" s="196"/>
      <c r="AK732" s="196"/>
      <c r="AL732" s="196"/>
      <c r="AM732" s="196"/>
      <c r="AN732" s="196"/>
      <c r="AO732" s="196"/>
      <c r="AP732" s="196"/>
      <c r="AQ732" s="196"/>
      <c r="AR732" s="196"/>
      <c r="AS732" s="196"/>
      <c r="AT732" s="197"/>
      <c r="AU732" s="229">
        <f t="shared" ref="AU732:AY741" si="121">INDEX(AU$662:AU$677,MATCH($E732,$E$662:$E$677,0))*AU698</f>
        <v>7.6445509239825418</v>
      </c>
      <c r="AV732" s="230">
        <f t="shared" si="121"/>
        <v>6.6650590648862869</v>
      </c>
      <c r="AW732" s="230">
        <f t="shared" si="121"/>
        <v>6.5990898653509715</v>
      </c>
      <c r="AX732" s="230">
        <f t="shared" si="121"/>
        <v>4.989439529523934</v>
      </c>
      <c r="AY732" s="231">
        <f t="shared" si="121"/>
        <v>3.4877950336793342</v>
      </c>
      <c r="AZ732" s="44"/>
      <c r="BA732" s="44" t="str">
        <f t="shared" ref="BA732:BA752" ca="1" si="122">$A$1</f>
        <v>VariantAllowances</v>
      </c>
      <c r="BB732" s="44" t="str">
        <f t="shared" ref="BB732:BB763" si="123">$A$660</f>
        <v>SO variant allowances</v>
      </c>
      <c r="BC732" s="44" t="str">
        <f t="shared" ref="BC732:BC763" si="124">$B$731</f>
        <v>Variant allowances allocation to totex categories</v>
      </c>
    </row>
    <row r="733" spans="1:55">
      <c r="D733">
        <f t="shared" si="117"/>
        <v>1</v>
      </c>
      <c r="E733" s="201" t="str">
        <f t="shared" si="118"/>
        <v>Cyber resilience term Price Control Deliverable</v>
      </c>
      <c r="F733" s="225"/>
      <c r="G733" s="202" t="str">
        <f t="shared" si="119"/>
        <v>£m 23/24 prices</v>
      </c>
      <c r="H733" s="202" t="str">
        <f t="shared" si="120"/>
        <v>Controllable opex</v>
      </c>
      <c r="I733" s="202"/>
      <c r="J733" s="202"/>
      <c r="K733" s="202"/>
      <c r="L733" s="202"/>
      <c r="M733" s="202"/>
      <c r="N733" s="202"/>
      <c r="O733" s="202"/>
      <c r="P733" s="202"/>
      <c r="Q733" s="202"/>
      <c r="R733" s="202"/>
      <c r="S733" s="202"/>
      <c r="T733" s="202"/>
      <c r="U733" s="202"/>
      <c r="V733" s="202"/>
      <c r="W733" s="202"/>
      <c r="X733" s="202"/>
      <c r="Y733" s="202"/>
      <c r="Z733" s="202"/>
      <c r="AA733" s="202"/>
      <c r="AB733" s="202"/>
      <c r="AC733" s="202"/>
      <c r="AD733" s="202"/>
      <c r="AE733" s="202"/>
      <c r="AF733" s="202"/>
      <c r="AG733" s="202"/>
      <c r="AH733" s="202"/>
      <c r="AI733" s="202"/>
      <c r="AJ733" s="202"/>
      <c r="AK733" s="202"/>
      <c r="AL733" s="202"/>
      <c r="AM733" s="202"/>
      <c r="AN733" s="202"/>
      <c r="AO733" s="202"/>
      <c r="AP733" s="202"/>
      <c r="AQ733" s="202"/>
      <c r="AR733" s="202"/>
      <c r="AS733" s="202"/>
      <c r="AT733" s="203"/>
      <c r="AU733" s="232">
        <f t="shared" si="121"/>
        <v>5.0963672826550281</v>
      </c>
      <c r="AV733" s="233">
        <f t="shared" si="121"/>
        <v>4.4433727099241915</v>
      </c>
      <c r="AW733" s="233">
        <f t="shared" si="121"/>
        <v>4.3993932435673146</v>
      </c>
      <c r="AX733" s="233">
        <f t="shared" si="121"/>
        <v>3.3262930196826228</v>
      </c>
      <c r="AY733" s="234">
        <f t="shared" si="121"/>
        <v>2.3251966891195561</v>
      </c>
      <c r="AZ733" s="44"/>
      <c r="BA733" s="44" t="str">
        <f t="shared" ca="1" si="122"/>
        <v>VariantAllowances</v>
      </c>
      <c r="BB733" s="44" t="str">
        <f t="shared" si="123"/>
        <v>SO variant allowances</v>
      </c>
      <c r="BC733" s="44" t="str">
        <f t="shared" si="124"/>
        <v>Variant allowances allocation to totex categories</v>
      </c>
    </row>
    <row r="734" spans="1:55">
      <c r="D734">
        <f t="shared" si="117"/>
        <v>2.5</v>
      </c>
      <c r="E734" s="195" t="str">
        <f t="shared" si="118"/>
        <v>Cyber resilience Re-Opener</v>
      </c>
      <c r="F734" s="221"/>
      <c r="G734" s="196" t="str">
        <f t="shared" si="119"/>
        <v>£m 23/24 prices</v>
      </c>
      <c r="H734" s="196" t="str">
        <f t="shared" si="120"/>
        <v>Non-operational capex</v>
      </c>
      <c r="I734" s="196"/>
      <c r="J734" s="196"/>
      <c r="K734" s="196"/>
      <c r="L734" s="196"/>
      <c r="M734" s="196"/>
      <c r="N734" s="196"/>
      <c r="O734" s="196"/>
      <c r="P734" s="196"/>
      <c r="Q734" s="196"/>
      <c r="R734" s="196"/>
      <c r="S734" s="196"/>
      <c r="T734" s="196"/>
      <c r="U734" s="196"/>
      <c r="V734" s="196"/>
      <c r="W734" s="196"/>
      <c r="X734" s="196"/>
      <c r="Y734" s="196"/>
      <c r="Z734" s="196"/>
      <c r="AA734" s="196"/>
      <c r="AB734" s="196"/>
      <c r="AC734" s="196"/>
      <c r="AD734" s="196"/>
      <c r="AE734" s="196"/>
      <c r="AF734" s="196"/>
      <c r="AG734" s="196"/>
      <c r="AH734" s="196"/>
      <c r="AI734" s="196"/>
      <c r="AJ734" s="196"/>
      <c r="AK734" s="196"/>
      <c r="AL734" s="196"/>
      <c r="AM734" s="196"/>
      <c r="AN734" s="196"/>
      <c r="AO734" s="196"/>
      <c r="AP734" s="196"/>
      <c r="AQ734" s="196"/>
      <c r="AR734" s="196"/>
      <c r="AS734" s="196"/>
      <c r="AT734" s="197"/>
      <c r="AU734" s="229">
        <f t="shared" si="121"/>
        <v>0</v>
      </c>
      <c r="AV734" s="230">
        <f t="shared" si="121"/>
        <v>0</v>
      </c>
      <c r="AW734" s="230">
        <f t="shared" si="121"/>
        <v>0</v>
      </c>
      <c r="AX734" s="230">
        <f t="shared" si="121"/>
        <v>0</v>
      </c>
      <c r="AY734" s="231">
        <f t="shared" si="121"/>
        <v>0</v>
      </c>
      <c r="AZ734" s="44"/>
      <c r="BA734" s="44" t="str">
        <f t="shared" ca="1" si="122"/>
        <v>VariantAllowances</v>
      </c>
      <c r="BB734" s="44" t="str">
        <f t="shared" si="123"/>
        <v>SO variant allowances</v>
      </c>
      <c r="BC734" s="44" t="str">
        <f t="shared" si="124"/>
        <v>Variant allowances allocation to totex categories</v>
      </c>
    </row>
    <row r="735" spans="1:55">
      <c r="D735">
        <f t="shared" si="117"/>
        <v>2.5</v>
      </c>
      <c r="E735" s="201" t="str">
        <f t="shared" si="118"/>
        <v>Cyber resilience Re-Opener</v>
      </c>
      <c r="F735" s="225"/>
      <c r="G735" s="202" t="str">
        <f t="shared" si="119"/>
        <v>£m 23/24 prices</v>
      </c>
      <c r="H735" s="202" t="str">
        <f t="shared" si="120"/>
        <v>Controllable opex</v>
      </c>
      <c r="I735" s="202"/>
      <c r="J735" s="202"/>
      <c r="K735" s="202"/>
      <c r="L735" s="202"/>
      <c r="M735" s="202"/>
      <c r="N735" s="202"/>
      <c r="O735" s="202"/>
      <c r="P735" s="202"/>
      <c r="Q735" s="202"/>
      <c r="R735" s="202"/>
      <c r="S735" s="202"/>
      <c r="T735" s="202"/>
      <c r="U735" s="202"/>
      <c r="V735" s="202"/>
      <c r="W735" s="202"/>
      <c r="X735" s="202"/>
      <c r="Y735" s="202"/>
      <c r="Z735" s="202"/>
      <c r="AA735" s="202"/>
      <c r="AB735" s="202"/>
      <c r="AC735" s="202"/>
      <c r="AD735" s="202"/>
      <c r="AE735" s="202"/>
      <c r="AF735" s="202"/>
      <c r="AG735" s="202"/>
      <c r="AH735" s="202"/>
      <c r="AI735" s="202"/>
      <c r="AJ735" s="202"/>
      <c r="AK735" s="202"/>
      <c r="AL735" s="202"/>
      <c r="AM735" s="202"/>
      <c r="AN735" s="202"/>
      <c r="AO735" s="202"/>
      <c r="AP735" s="202"/>
      <c r="AQ735" s="202"/>
      <c r="AR735" s="202"/>
      <c r="AS735" s="202"/>
      <c r="AT735" s="203"/>
      <c r="AU735" s="232">
        <f t="shared" si="121"/>
        <v>0</v>
      </c>
      <c r="AV735" s="233">
        <f t="shared" si="121"/>
        <v>0</v>
      </c>
      <c r="AW735" s="233">
        <f t="shared" si="121"/>
        <v>0</v>
      </c>
      <c r="AX735" s="233">
        <f t="shared" si="121"/>
        <v>0</v>
      </c>
      <c r="AY735" s="234">
        <f t="shared" si="121"/>
        <v>0</v>
      </c>
      <c r="AZ735" s="44"/>
      <c r="BA735" s="44" t="str">
        <f t="shared" ca="1" si="122"/>
        <v>VariantAllowances</v>
      </c>
      <c r="BB735" s="44" t="str">
        <f t="shared" si="123"/>
        <v>SO variant allowances</v>
      </c>
      <c r="BC735" s="44" t="str">
        <f t="shared" si="124"/>
        <v>Variant allowances allocation to totex categories</v>
      </c>
    </row>
    <row r="736" spans="1:55">
      <c r="D736">
        <f t="shared" si="117"/>
        <v>1.5</v>
      </c>
      <c r="E736" s="195" t="str">
        <f t="shared" si="118"/>
        <v>Cyber Use it or lose it allowance</v>
      </c>
      <c r="F736" s="221"/>
      <c r="G736" s="196" t="str">
        <f t="shared" si="119"/>
        <v>£m 23/24 prices</v>
      </c>
      <c r="H736" s="196" t="str">
        <f t="shared" si="120"/>
        <v>Non-operational capex</v>
      </c>
      <c r="I736" s="196"/>
      <c r="J736" s="196"/>
      <c r="K736" s="196"/>
      <c r="L736" s="196"/>
      <c r="M736" s="196"/>
      <c r="N736" s="196"/>
      <c r="O736" s="196"/>
      <c r="P736" s="196"/>
      <c r="Q736" s="196"/>
      <c r="R736" s="196"/>
      <c r="S736" s="196"/>
      <c r="T736" s="196"/>
      <c r="U736" s="196"/>
      <c r="V736" s="196"/>
      <c r="W736" s="196"/>
      <c r="X736" s="196"/>
      <c r="Y736" s="196"/>
      <c r="Z736" s="196"/>
      <c r="AA736" s="196"/>
      <c r="AB736" s="196"/>
      <c r="AC736" s="196"/>
      <c r="AD736" s="196"/>
      <c r="AE736" s="196"/>
      <c r="AF736" s="196"/>
      <c r="AG736" s="196"/>
      <c r="AH736" s="196"/>
      <c r="AI736" s="196"/>
      <c r="AJ736" s="196"/>
      <c r="AK736" s="196"/>
      <c r="AL736" s="196"/>
      <c r="AM736" s="196"/>
      <c r="AN736" s="196"/>
      <c r="AO736" s="196"/>
      <c r="AP736" s="196"/>
      <c r="AQ736" s="196"/>
      <c r="AR736" s="196"/>
      <c r="AS736" s="196"/>
      <c r="AT736" s="197"/>
      <c r="AU736" s="229">
        <f t="shared" si="121"/>
        <v>0.6725051072223599</v>
      </c>
      <c r="AV736" s="230">
        <f t="shared" si="121"/>
        <v>0.63828209630513455</v>
      </c>
      <c r="AW736" s="230">
        <f t="shared" si="121"/>
        <v>0.71549910887236134</v>
      </c>
      <c r="AX736" s="230">
        <f t="shared" si="121"/>
        <v>0</v>
      </c>
      <c r="AY736" s="231">
        <f t="shared" si="121"/>
        <v>0</v>
      </c>
      <c r="AZ736" s="44"/>
      <c r="BA736" s="44" t="str">
        <f t="shared" ca="1" si="122"/>
        <v>VariantAllowances</v>
      </c>
      <c r="BB736" s="44" t="str">
        <f t="shared" si="123"/>
        <v>SO variant allowances</v>
      </c>
      <c r="BC736" s="44" t="str">
        <f t="shared" si="124"/>
        <v>Variant allowances allocation to totex categories</v>
      </c>
    </row>
    <row r="737" spans="1:55">
      <c r="D737">
        <f t="shared" si="117"/>
        <v>1.5</v>
      </c>
      <c r="E737" s="201" t="str">
        <f t="shared" si="118"/>
        <v>Cyber Use it or lose it allowance</v>
      </c>
      <c r="F737" s="225"/>
      <c r="G737" s="202" t="str">
        <f t="shared" si="119"/>
        <v>£m 23/24 prices</v>
      </c>
      <c r="H737" s="202" t="str">
        <f t="shared" si="120"/>
        <v>Controllable opex</v>
      </c>
      <c r="I737" s="202"/>
      <c r="J737" s="202"/>
      <c r="K737" s="202"/>
      <c r="L737" s="202"/>
      <c r="M737" s="202"/>
      <c r="N737" s="202"/>
      <c r="O737" s="202"/>
      <c r="P737" s="202"/>
      <c r="Q737" s="202"/>
      <c r="R737" s="202"/>
      <c r="S737" s="202"/>
      <c r="T737" s="202"/>
      <c r="U737" s="202"/>
      <c r="V737" s="202"/>
      <c r="W737" s="202"/>
      <c r="X737" s="202"/>
      <c r="Y737" s="202"/>
      <c r="Z737" s="202"/>
      <c r="AA737" s="202"/>
      <c r="AB737" s="202"/>
      <c r="AC737" s="202"/>
      <c r="AD737" s="202"/>
      <c r="AE737" s="202"/>
      <c r="AF737" s="202"/>
      <c r="AG737" s="202"/>
      <c r="AH737" s="202"/>
      <c r="AI737" s="202"/>
      <c r="AJ737" s="202"/>
      <c r="AK737" s="202"/>
      <c r="AL737" s="202"/>
      <c r="AM737" s="202"/>
      <c r="AN737" s="202"/>
      <c r="AO737" s="202"/>
      <c r="AP737" s="202"/>
      <c r="AQ737" s="202"/>
      <c r="AR737" s="202"/>
      <c r="AS737" s="202"/>
      <c r="AT737" s="203"/>
      <c r="AU737" s="232">
        <f t="shared" si="121"/>
        <v>0.44833673814823999</v>
      </c>
      <c r="AV737" s="233">
        <f t="shared" si="121"/>
        <v>0.42552139753675644</v>
      </c>
      <c r="AW737" s="233">
        <f t="shared" si="121"/>
        <v>0.47699940591490758</v>
      </c>
      <c r="AX737" s="233">
        <f t="shared" si="121"/>
        <v>0</v>
      </c>
      <c r="AY737" s="234">
        <f t="shared" si="121"/>
        <v>0</v>
      </c>
      <c r="AZ737" s="44"/>
      <c r="BA737" s="44" t="str">
        <f t="shared" ca="1" si="122"/>
        <v>VariantAllowances</v>
      </c>
      <c r="BB737" s="44" t="str">
        <f t="shared" si="123"/>
        <v>SO variant allowances</v>
      </c>
      <c r="BC737" s="44" t="str">
        <f t="shared" si="124"/>
        <v>Variant allowances allocation to totex categories</v>
      </c>
    </row>
    <row r="738" spans="1:55">
      <c r="D738">
        <f t="shared" si="117"/>
        <v>2.5</v>
      </c>
      <c r="E738" s="195" t="str">
        <f t="shared" si="118"/>
        <v>Decarbonisation and Environmental Policy Re-opener</v>
      </c>
      <c r="F738" s="221"/>
      <c r="G738" s="196" t="str">
        <f t="shared" si="119"/>
        <v>£m 23/24 prices</v>
      </c>
      <c r="H738" s="196" t="str">
        <f t="shared" si="120"/>
        <v>Non-operational capex</v>
      </c>
      <c r="I738" s="196"/>
      <c r="J738" s="196"/>
      <c r="K738" s="196"/>
      <c r="L738" s="196"/>
      <c r="M738" s="196"/>
      <c r="N738" s="196"/>
      <c r="O738" s="196"/>
      <c r="P738" s="196"/>
      <c r="Q738" s="196"/>
      <c r="R738" s="196"/>
      <c r="S738" s="196"/>
      <c r="T738" s="196"/>
      <c r="U738" s="196"/>
      <c r="V738" s="196"/>
      <c r="W738" s="196"/>
      <c r="X738" s="196"/>
      <c r="Y738" s="196"/>
      <c r="Z738" s="196"/>
      <c r="AA738" s="196"/>
      <c r="AB738" s="196"/>
      <c r="AC738" s="196"/>
      <c r="AD738" s="196"/>
      <c r="AE738" s="196"/>
      <c r="AF738" s="196"/>
      <c r="AG738" s="196"/>
      <c r="AH738" s="196"/>
      <c r="AI738" s="196"/>
      <c r="AJ738" s="196"/>
      <c r="AK738" s="196"/>
      <c r="AL738" s="196"/>
      <c r="AM738" s="196"/>
      <c r="AN738" s="196"/>
      <c r="AO738" s="196"/>
      <c r="AP738" s="196"/>
      <c r="AQ738" s="196"/>
      <c r="AR738" s="196"/>
      <c r="AS738" s="196"/>
      <c r="AT738" s="197"/>
      <c r="AU738" s="229">
        <f t="shared" si="121"/>
        <v>0</v>
      </c>
      <c r="AV738" s="230">
        <f t="shared" si="121"/>
        <v>0</v>
      </c>
      <c r="AW738" s="230">
        <f t="shared" si="121"/>
        <v>0</v>
      </c>
      <c r="AX738" s="230">
        <f t="shared" si="121"/>
        <v>0</v>
      </c>
      <c r="AY738" s="231">
        <f t="shared" si="121"/>
        <v>0</v>
      </c>
      <c r="AZ738" s="44"/>
      <c r="BA738" s="44" t="str">
        <f t="shared" ca="1" si="122"/>
        <v>VariantAllowances</v>
      </c>
      <c r="BB738" s="44" t="str">
        <f t="shared" si="123"/>
        <v>SO variant allowances</v>
      </c>
      <c r="BC738" s="44" t="str">
        <f t="shared" si="124"/>
        <v>Variant allowances allocation to totex categories</v>
      </c>
    </row>
    <row r="739" spans="1:55">
      <c r="D739">
        <f t="shared" si="117"/>
        <v>2.5</v>
      </c>
      <c r="E739" s="201" t="str">
        <f t="shared" si="118"/>
        <v>Decarbonisation and Environmental Policy Re-opener</v>
      </c>
      <c r="F739" s="225"/>
      <c r="G739" s="202" t="str">
        <f t="shared" si="119"/>
        <v>£m 23/24 prices</v>
      </c>
      <c r="H739" s="202" t="str">
        <f t="shared" si="120"/>
        <v>Controllable opex</v>
      </c>
      <c r="I739" s="202"/>
      <c r="J739" s="202"/>
      <c r="K739" s="202"/>
      <c r="L739" s="202"/>
      <c r="M739" s="202"/>
      <c r="N739" s="202"/>
      <c r="O739" s="202"/>
      <c r="P739" s="202"/>
      <c r="Q739" s="202"/>
      <c r="R739" s="202"/>
      <c r="S739" s="202"/>
      <c r="T739" s="202"/>
      <c r="U739" s="202"/>
      <c r="V739" s="202"/>
      <c r="W739" s="202"/>
      <c r="X739" s="202"/>
      <c r="Y739" s="202"/>
      <c r="Z739" s="202"/>
      <c r="AA739" s="202"/>
      <c r="AB739" s="202"/>
      <c r="AC739" s="202"/>
      <c r="AD739" s="202"/>
      <c r="AE739" s="202"/>
      <c r="AF739" s="202"/>
      <c r="AG739" s="202"/>
      <c r="AH739" s="202"/>
      <c r="AI739" s="202"/>
      <c r="AJ739" s="202"/>
      <c r="AK739" s="202"/>
      <c r="AL739" s="202"/>
      <c r="AM739" s="202"/>
      <c r="AN739" s="202"/>
      <c r="AO739" s="202"/>
      <c r="AP739" s="202"/>
      <c r="AQ739" s="202"/>
      <c r="AR739" s="202"/>
      <c r="AS739" s="202"/>
      <c r="AT739" s="203"/>
      <c r="AU739" s="232">
        <f t="shared" si="121"/>
        <v>0</v>
      </c>
      <c r="AV739" s="233">
        <f t="shared" si="121"/>
        <v>0</v>
      </c>
      <c r="AW739" s="233">
        <f t="shared" si="121"/>
        <v>0</v>
      </c>
      <c r="AX739" s="233">
        <f t="shared" si="121"/>
        <v>0</v>
      </c>
      <c r="AY739" s="234">
        <f t="shared" si="121"/>
        <v>0</v>
      </c>
      <c r="AZ739" s="44"/>
      <c r="BA739" s="44" t="str">
        <f t="shared" ca="1" si="122"/>
        <v>VariantAllowances</v>
      </c>
      <c r="BB739" s="44" t="str">
        <f t="shared" si="123"/>
        <v>SO variant allowances</v>
      </c>
      <c r="BC739" s="44" t="str">
        <f t="shared" si="124"/>
        <v>Variant allowances allocation to totex categories</v>
      </c>
    </row>
    <row r="740" spans="1:55">
      <c r="D740">
        <f t="shared" si="117"/>
        <v>2.5</v>
      </c>
      <c r="E740" s="195" t="str">
        <f t="shared" si="118"/>
        <v>Digitalisation Re-opener</v>
      </c>
      <c r="F740" s="221"/>
      <c r="G740" s="196" t="str">
        <f t="shared" si="119"/>
        <v>£m 23/24 prices</v>
      </c>
      <c r="H740" s="196" t="str">
        <f t="shared" si="120"/>
        <v>Non-operational capex</v>
      </c>
      <c r="I740" s="196"/>
      <c r="J740" s="196"/>
      <c r="K740" s="196"/>
      <c r="L740" s="196"/>
      <c r="M740" s="196"/>
      <c r="N740" s="196"/>
      <c r="O740" s="196"/>
      <c r="P740" s="196"/>
      <c r="Q740" s="196"/>
      <c r="R740" s="196"/>
      <c r="S740" s="196"/>
      <c r="T740" s="196"/>
      <c r="U740" s="196"/>
      <c r="V740" s="196"/>
      <c r="W740" s="196"/>
      <c r="X740" s="196"/>
      <c r="Y740" s="196"/>
      <c r="Z740" s="196"/>
      <c r="AA740" s="196"/>
      <c r="AB740" s="196"/>
      <c r="AC740" s="196"/>
      <c r="AD740" s="196"/>
      <c r="AE740" s="196"/>
      <c r="AF740" s="196"/>
      <c r="AG740" s="196"/>
      <c r="AH740" s="196"/>
      <c r="AI740" s="196"/>
      <c r="AJ740" s="196"/>
      <c r="AK740" s="196"/>
      <c r="AL740" s="196"/>
      <c r="AM740" s="196"/>
      <c r="AN740" s="196"/>
      <c r="AO740" s="196"/>
      <c r="AP740" s="196"/>
      <c r="AQ740" s="196"/>
      <c r="AR740" s="196"/>
      <c r="AS740" s="196"/>
      <c r="AT740" s="197"/>
      <c r="AU740" s="229">
        <f t="shared" si="121"/>
        <v>0</v>
      </c>
      <c r="AV740" s="230">
        <f t="shared" si="121"/>
        <v>0</v>
      </c>
      <c r="AW740" s="230">
        <f t="shared" si="121"/>
        <v>0</v>
      </c>
      <c r="AX740" s="230">
        <f t="shared" si="121"/>
        <v>0</v>
      </c>
      <c r="AY740" s="231">
        <f t="shared" si="121"/>
        <v>0</v>
      </c>
      <c r="AZ740" s="44"/>
      <c r="BA740" s="44" t="str">
        <f t="shared" ca="1" si="122"/>
        <v>VariantAllowances</v>
      </c>
      <c r="BB740" s="44" t="str">
        <f t="shared" si="123"/>
        <v>SO variant allowances</v>
      </c>
      <c r="BC740" s="44" t="str">
        <f t="shared" si="124"/>
        <v>Variant allowances allocation to totex categories</v>
      </c>
    </row>
    <row r="741" spans="1:55">
      <c r="D741">
        <f t="shared" si="117"/>
        <v>2.5</v>
      </c>
      <c r="E741" s="201" t="str">
        <f t="shared" si="118"/>
        <v>Digitalisation Re-opener</v>
      </c>
      <c r="F741" s="225"/>
      <c r="G741" s="202" t="str">
        <f t="shared" si="119"/>
        <v>£m 23/24 prices</v>
      </c>
      <c r="H741" s="202" t="str">
        <f t="shared" si="120"/>
        <v>Controllable opex</v>
      </c>
      <c r="I741" s="202"/>
      <c r="J741" s="202"/>
      <c r="K741" s="202"/>
      <c r="L741" s="202"/>
      <c r="M741" s="202"/>
      <c r="N741" s="202"/>
      <c r="O741" s="202"/>
      <c r="P741" s="202"/>
      <c r="Q741" s="202"/>
      <c r="R741" s="202"/>
      <c r="S741" s="202"/>
      <c r="T741" s="202"/>
      <c r="U741" s="202"/>
      <c r="V741" s="202"/>
      <c r="W741" s="202"/>
      <c r="X741" s="202"/>
      <c r="Y741" s="202"/>
      <c r="Z741" s="202"/>
      <c r="AA741" s="202"/>
      <c r="AB741" s="202"/>
      <c r="AC741" s="202"/>
      <c r="AD741" s="202"/>
      <c r="AE741" s="202"/>
      <c r="AF741" s="202"/>
      <c r="AG741" s="202"/>
      <c r="AH741" s="202"/>
      <c r="AI741" s="202"/>
      <c r="AJ741" s="202"/>
      <c r="AK741" s="202"/>
      <c r="AL741" s="202"/>
      <c r="AM741" s="202"/>
      <c r="AN741" s="202"/>
      <c r="AO741" s="202"/>
      <c r="AP741" s="202"/>
      <c r="AQ741" s="202"/>
      <c r="AR741" s="202"/>
      <c r="AS741" s="202"/>
      <c r="AT741" s="203"/>
      <c r="AU741" s="232">
        <f t="shared" si="121"/>
        <v>0</v>
      </c>
      <c r="AV741" s="233">
        <f t="shared" si="121"/>
        <v>0</v>
      </c>
      <c r="AW741" s="233">
        <f t="shared" si="121"/>
        <v>0</v>
      </c>
      <c r="AX741" s="233">
        <f t="shared" si="121"/>
        <v>0</v>
      </c>
      <c r="AY741" s="234">
        <f t="shared" si="121"/>
        <v>0</v>
      </c>
      <c r="AZ741" s="44"/>
      <c r="BA741" s="44" t="str">
        <f t="shared" ca="1" si="122"/>
        <v>VariantAllowances</v>
      </c>
      <c r="BB741" s="44" t="str">
        <f t="shared" si="123"/>
        <v>SO variant allowances</v>
      </c>
      <c r="BC741" s="44" t="str">
        <f t="shared" si="124"/>
        <v>Variant allowances allocation to totex categories</v>
      </c>
    </row>
    <row r="742" spans="1:55">
      <c r="D742">
        <f t="shared" si="117"/>
        <v>1</v>
      </c>
      <c r="E742" s="195" t="str">
        <f t="shared" si="118"/>
        <v>Funded Incremental Obligated Capacity Price Control Deliverable</v>
      </c>
      <c r="F742" s="221"/>
      <c r="G742" s="196" t="str">
        <f t="shared" si="119"/>
        <v>£m 23/24 prices</v>
      </c>
      <c r="H742" s="196" t="str">
        <f t="shared" si="120"/>
        <v>Non-operational capex</v>
      </c>
      <c r="I742" s="196"/>
      <c r="J742" s="196"/>
      <c r="K742" s="196"/>
      <c r="L742" s="196"/>
      <c r="M742" s="196"/>
      <c r="N742" s="196"/>
      <c r="O742" s="196"/>
      <c r="P742" s="196"/>
      <c r="Q742" s="196"/>
      <c r="R742" s="196"/>
      <c r="S742" s="196"/>
      <c r="T742" s="196"/>
      <c r="U742" s="196"/>
      <c r="V742" s="196"/>
      <c r="W742" s="196"/>
      <c r="X742" s="196"/>
      <c r="Y742" s="196"/>
      <c r="Z742" s="196"/>
      <c r="AA742" s="196"/>
      <c r="AB742" s="196"/>
      <c r="AC742" s="196"/>
      <c r="AD742" s="196"/>
      <c r="AE742" s="196"/>
      <c r="AF742" s="196"/>
      <c r="AG742" s="196"/>
      <c r="AH742" s="196"/>
      <c r="AI742" s="196"/>
      <c r="AJ742" s="196"/>
      <c r="AK742" s="196"/>
      <c r="AL742" s="196"/>
      <c r="AM742" s="196"/>
      <c r="AN742" s="196"/>
      <c r="AO742" s="196"/>
      <c r="AP742" s="196"/>
      <c r="AQ742" s="196"/>
      <c r="AR742" s="196"/>
      <c r="AS742" s="196"/>
      <c r="AT742" s="197"/>
      <c r="AU742" s="229">
        <f t="shared" ref="AU742:AY751" si="125">INDEX(AU$662:AU$677,MATCH($E742,$E$662:$E$677,0))*AU708</f>
        <v>0</v>
      </c>
      <c r="AV742" s="230">
        <f t="shared" si="125"/>
        <v>0</v>
      </c>
      <c r="AW742" s="230">
        <f t="shared" si="125"/>
        <v>0</v>
      </c>
      <c r="AX742" s="230">
        <f t="shared" si="125"/>
        <v>0</v>
      </c>
      <c r="AY742" s="231">
        <f t="shared" si="125"/>
        <v>0</v>
      </c>
      <c r="AZ742" s="44"/>
      <c r="BA742" s="44" t="str">
        <f t="shared" ca="1" si="122"/>
        <v>VariantAllowances</v>
      </c>
      <c r="BB742" s="44" t="str">
        <f t="shared" si="123"/>
        <v>SO variant allowances</v>
      </c>
      <c r="BC742" s="44" t="str">
        <f t="shared" si="124"/>
        <v>Variant allowances allocation to totex categories</v>
      </c>
    </row>
    <row r="743" spans="1:55">
      <c r="D743">
        <f t="shared" si="117"/>
        <v>1</v>
      </c>
      <c r="E743" s="201" t="str">
        <f t="shared" si="118"/>
        <v>Funded Incremental Obligated Capacity Price Control Deliverable</v>
      </c>
      <c r="F743" s="225"/>
      <c r="G743" s="202" t="str">
        <f t="shared" si="119"/>
        <v>£m 23/24 prices</v>
      </c>
      <c r="H743" s="202" t="str">
        <f t="shared" si="120"/>
        <v>Controllable opex</v>
      </c>
      <c r="I743" s="202"/>
      <c r="J743" s="202"/>
      <c r="K743" s="202"/>
      <c r="L743" s="202"/>
      <c r="M743" s="202"/>
      <c r="N743" s="202"/>
      <c r="O743" s="202"/>
      <c r="P743" s="202"/>
      <c r="Q743" s="202"/>
      <c r="R743" s="202"/>
      <c r="S743" s="202"/>
      <c r="T743" s="202"/>
      <c r="U743" s="202"/>
      <c r="V743" s="202"/>
      <c r="W743" s="202"/>
      <c r="X743" s="202"/>
      <c r="Y743" s="202"/>
      <c r="Z743" s="202"/>
      <c r="AA743" s="202"/>
      <c r="AB743" s="202"/>
      <c r="AC743" s="202"/>
      <c r="AD743" s="202"/>
      <c r="AE743" s="202"/>
      <c r="AF743" s="202"/>
      <c r="AG743" s="202"/>
      <c r="AH743" s="202"/>
      <c r="AI743" s="202"/>
      <c r="AJ743" s="202"/>
      <c r="AK743" s="202"/>
      <c r="AL743" s="202"/>
      <c r="AM743" s="202"/>
      <c r="AN743" s="202"/>
      <c r="AO743" s="202"/>
      <c r="AP743" s="202"/>
      <c r="AQ743" s="202"/>
      <c r="AR743" s="202"/>
      <c r="AS743" s="202"/>
      <c r="AT743" s="203"/>
      <c r="AU743" s="232">
        <f t="shared" si="125"/>
        <v>0</v>
      </c>
      <c r="AV743" s="233">
        <f t="shared" si="125"/>
        <v>0</v>
      </c>
      <c r="AW743" s="233">
        <f t="shared" si="125"/>
        <v>0</v>
      </c>
      <c r="AX743" s="233">
        <f t="shared" si="125"/>
        <v>0</v>
      </c>
      <c r="AY743" s="234">
        <f t="shared" si="125"/>
        <v>0</v>
      </c>
      <c r="AZ743" s="44"/>
      <c r="BA743" s="44" t="str">
        <f t="shared" ca="1" si="122"/>
        <v>VariantAllowances</v>
      </c>
      <c r="BB743" s="44" t="str">
        <f t="shared" si="123"/>
        <v>SO variant allowances</v>
      </c>
      <c r="BC743" s="44" t="str">
        <f t="shared" si="124"/>
        <v>Variant allowances allocation to totex categories</v>
      </c>
    </row>
    <row r="744" spans="1:55">
      <c r="D744">
        <f t="shared" si="117"/>
        <v>2</v>
      </c>
      <c r="E744" s="195" t="str">
        <f t="shared" si="118"/>
        <v>Funded Incremental Obligated Capacity Price Control Deliverable -Re-Opener Element</v>
      </c>
      <c r="F744" s="221"/>
      <c r="G744" s="196" t="str">
        <f t="shared" si="119"/>
        <v>£m 23/24 prices</v>
      </c>
      <c r="H744" s="196" t="str">
        <f t="shared" si="120"/>
        <v>Non-operational capex</v>
      </c>
      <c r="I744" s="196"/>
      <c r="J744" s="196"/>
      <c r="K744" s="196"/>
      <c r="L744" s="196"/>
      <c r="M744" s="196"/>
      <c r="N744" s="196"/>
      <c r="O744" s="196"/>
      <c r="P744" s="196"/>
      <c r="Q744" s="196"/>
      <c r="R744" s="196"/>
      <c r="S744" s="196"/>
      <c r="T744" s="196"/>
      <c r="U744" s="196"/>
      <c r="V744" s="196"/>
      <c r="W744" s="196"/>
      <c r="X744" s="196"/>
      <c r="Y744" s="196"/>
      <c r="Z744" s="196"/>
      <c r="AA744" s="196"/>
      <c r="AB744" s="196"/>
      <c r="AC744" s="196"/>
      <c r="AD744" s="196"/>
      <c r="AE744" s="196"/>
      <c r="AF744" s="196"/>
      <c r="AG744" s="196"/>
      <c r="AH744" s="196"/>
      <c r="AI744" s="196"/>
      <c r="AJ744" s="196"/>
      <c r="AK744" s="196"/>
      <c r="AL744" s="196"/>
      <c r="AM744" s="196"/>
      <c r="AN744" s="196"/>
      <c r="AO744" s="196"/>
      <c r="AP744" s="196"/>
      <c r="AQ744" s="196"/>
      <c r="AR744" s="196"/>
      <c r="AS744" s="196"/>
      <c r="AT744" s="197"/>
      <c r="AU744" s="229">
        <f t="shared" si="125"/>
        <v>0</v>
      </c>
      <c r="AV744" s="230">
        <f t="shared" si="125"/>
        <v>0</v>
      </c>
      <c r="AW744" s="230">
        <f t="shared" si="125"/>
        <v>0</v>
      </c>
      <c r="AX744" s="230">
        <f t="shared" si="125"/>
        <v>0</v>
      </c>
      <c r="AY744" s="231">
        <f t="shared" si="125"/>
        <v>0</v>
      </c>
      <c r="AZ744" s="44"/>
      <c r="BA744" s="44" t="str">
        <f t="shared" ca="1" si="122"/>
        <v>VariantAllowances</v>
      </c>
      <c r="BB744" s="44" t="str">
        <f t="shared" si="123"/>
        <v>SO variant allowances</v>
      </c>
      <c r="BC744" s="44" t="str">
        <f t="shared" si="124"/>
        <v>Variant allowances allocation to totex categories</v>
      </c>
    </row>
    <row r="745" spans="1:55">
      <c r="D745">
        <f t="shared" si="117"/>
        <v>2</v>
      </c>
      <c r="E745" s="201" t="str">
        <f t="shared" si="118"/>
        <v>Funded Incremental Obligated Capacity Price Control Deliverable -Re-Opener Element</v>
      </c>
      <c r="F745" s="225"/>
      <c r="G745" s="202" t="str">
        <f t="shared" si="119"/>
        <v>£m 23/24 prices</v>
      </c>
      <c r="H745" s="202" t="str">
        <f t="shared" si="120"/>
        <v>Controllable opex</v>
      </c>
      <c r="I745" s="202"/>
      <c r="J745" s="202"/>
      <c r="K745" s="202"/>
      <c r="L745" s="202"/>
      <c r="M745" s="202"/>
      <c r="N745" s="202"/>
      <c r="O745" s="202"/>
      <c r="P745" s="202"/>
      <c r="Q745" s="202"/>
      <c r="R745" s="202"/>
      <c r="S745" s="202"/>
      <c r="T745" s="202"/>
      <c r="U745" s="202"/>
      <c r="V745" s="202"/>
      <c r="W745" s="202"/>
      <c r="X745" s="202"/>
      <c r="Y745" s="202"/>
      <c r="Z745" s="202"/>
      <c r="AA745" s="202"/>
      <c r="AB745" s="202"/>
      <c r="AC745" s="202"/>
      <c r="AD745" s="202"/>
      <c r="AE745" s="202"/>
      <c r="AF745" s="202"/>
      <c r="AG745" s="202"/>
      <c r="AH745" s="202"/>
      <c r="AI745" s="202"/>
      <c r="AJ745" s="202"/>
      <c r="AK745" s="202"/>
      <c r="AL745" s="202"/>
      <c r="AM745" s="202"/>
      <c r="AN745" s="202"/>
      <c r="AO745" s="202"/>
      <c r="AP745" s="202"/>
      <c r="AQ745" s="202"/>
      <c r="AR745" s="202"/>
      <c r="AS745" s="202"/>
      <c r="AT745" s="203"/>
      <c r="AU745" s="232">
        <f t="shared" si="125"/>
        <v>0</v>
      </c>
      <c r="AV745" s="233">
        <f t="shared" si="125"/>
        <v>0</v>
      </c>
      <c r="AW745" s="233">
        <f t="shared" si="125"/>
        <v>0</v>
      </c>
      <c r="AX745" s="233">
        <f t="shared" si="125"/>
        <v>0</v>
      </c>
      <c r="AY745" s="234">
        <f t="shared" si="125"/>
        <v>0</v>
      </c>
      <c r="AZ745" s="44"/>
      <c r="BA745" s="44" t="str">
        <f t="shared" ca="1" si="122"/>
        <v>VariantAllowances</v>
      </c>
      <c r="BB745" s="44" t="str">
        <f t="shared" si="123"/>
        <v>SO variant allowances</v>
      </c>
      <c r="BC745" s="44" t="str">
        <f t="shared" si="124"/>
        <v>Variant allowances allocation to totex categories</v>
      </c>
    </row>
    <row r="746" spans="1:55" s="9" customFormat="1">
      <c r="A746" s="8"/>
      <c r="B746" s="8"/>
      <c r="C746"/>
      <c r="D746">
        <f t="shared" si="117"/>
        <v>2.5</v>
      </c>
      <c r="E746" s="195" t="str">
        <f t="shared" si="118"/>
        <v xml:space="preserve">Office, gas national control centre and emergency control room relocation Re-opener </v>
      </c>
      <c r="F746" s="221"/>
      <c r="G746" s="196" t="str">
        <f t="shared" si="119"/>
        <v>£m 23/24 prices</v>
      </c>
      <c r="H746" s="196" t="str">
        <f t="shared" si="120"/>
        <v>Non-operational capex</v>
      </c>
      <c r="I746" s="196"/>
      <c r="J746" s="196"/>
      <c r="K746" s="196"/>
      <c r="L746" s="196"/>
      <c r="M746" s="196"/>
      <c r="N746" s="196"/>
      <c r="O746" s="196"/>
      <c r="P746" s="196"/>
      <c r="Q746" s="196"/>
      <c r="R746" s="196"/>
      <c r="S746" s="196"/>
      <c r="T746" s="196"/>
      <c r="U746" s="196"/>
      <c r="V746" s="196"/>
      <c r="W746" s="196"/>
      <c r="X746" s="196"/>
      <c r="Y746" s="196"/>
      <c r="Z746" s="196"/>
      <c r="AA746" s="196"/>
      <c r="AB746" s="196"/>
      <c r="AC746" s="196"/>
      <c r="AD746" s="196"/>
      <c r="AE746" s="196"/>
      <c r="AF746" s="196"/>
      <c r="AG746" s="196"/>
      <c r="AH746" s="196"/>
      <c r="AI746" s="196"/>
      <c r="AJ746" s="196"/>
      <c r="AK746" s="196"/>
      <c r="AL746" s="196"/>
      <c r="AM746" s="196"/>
      <c r="AN746" s="196"/>
      <c r="AO746" s="196"/>
      <c r="AP746" s="196"/>
      <c r="AQ746" s="196"/>
      <c r="AR746" s="196"/>
      <c r="AS746" s="196"/>
      <c r="AT746" s="197"/>
      <c r="AU746" s="229">
        <f t="shared" si="125"/>
        <v>2.6516373524992143</v>
      </c>
      <c r="AV746" s="230">
        <f t="shared" si="125"/>
        <v>10.021011242721324</v>
      </c>
      <c r="AW746" s="230">
        <f t="shared" si="125"/>
        <v>17.358536136374301</v>
      </c>
      <c r="AX746" s="230">
        <f t="shared" si="125"/>
        <v>4.4284383678614763</v>
      </c>
      <c r="AY746" s="231">
        <f t="shared" si="125"/>
        <v>0.27372798420204875</v>
      </c>
      <c r="AZ746" s="44"/>
      <c r="BA746" s="44" t="str">
        <f t="shared" ca="1" si="122"/>
        <v>VariantAllowances</v>
      </c>
      <c r="BB746" s="44" t="str">
        <f t="shared" si="123"/>
        <v>SO variant allowances</v>
      </c>
      <c r="BC746" s="44" t="str">
        <f t="shared" si="124"/>
        <v>Variant allowances allocation to totex categories</v>
      </c>
    </row>
    <row r="747" spans="1:55" s="9" customFormat="1">
      <c r="B747" s="8"/>
      <c r="C747"/>
      <c r="D747">
        <f t="shared" si="117"/>
        <v>2.5</v>
      </c>
      <c r="E747" s="201" t="str">
        <f t="shared" si="118"/>
        <v xml:space="preserve">Office, gas national control centre and emergency control room relocation Re-opener </v>
      </c>
      <c r="F747" s="225"/>
      <c r="G747" s="202" t="str">
        <f t="shared" si="119"/>
        <v>£m 23/24 prices</v>
      </c>
      <c r="H747" s="202" t="str">
        <f t="shared" si="120"/>
        <v>Controllable opex</v>
      </c>
      <c r="I747" s="202"/>
      <c r="J747" s="202"/>
      <c r="K747" s="202"/>
      <c r="L747" s="202"/>
      <c r="M747" s="202"/>
      <c r="N747" s="202"/>
      <c r="O747" s="202"/>
      <c r="P747" s="202"/>
      <c r="Q747" s="202"/>
      <c r="R747" s="202"/>
      <c r="S747" s="202"/>
      <c r="T747" s="202"/>
      <c r="U747" s="202"/>
      <c r="V747" s="202"/>
      <c r="W747" s="202"/>
      <c r="X747" s="202"/>
      <c r="Y747" s="202"/>
      <c r="Z747" s="202"/>
      <c r="AA747" s="202"/>
      <c r="AB747" s="202"/>
      <c r="AC747" s="202"/>
      <c r="AD747" s="202"/>
      <c r="AE747" s="202"/>
      <c r="AF747" s="202"/>
      <c r="AG747" s="202"/>
      <c r="AH747" s="202"/>
      <c r="AI747" s="202"/>
      <c r="AJ747" s="202"/>
      <c r="AK747" s="202"/>
      <c r="AL747" s="202"/>
      <c r="AM747" s="202"/>
      <c r="AN747" s="202"/>
      <c r="AO747" s="202"/>
      <c r="AP747" s="202"/>
      <c r="AQ747" s="202"/>
      <c r="AR747" s="202"/>
      <c r="AS747" s="202"/>
      <c r="AT747" s="203"/>
      <c r="AU747" s="232">
        <f t="shared" si="125"/>
        <v>0</v>
      </c>
      <c r="AV747" s="233">
        <f t="shared" si="125"/>
        <v>0</v>
      </c>
      <c r="AW747" s="233">
        <f t="shared" si="125"/>
        <v>0.21774085343940563</v>
      </c>
      <c r="AX747" s="233">
        <f t="shared" si="125"/>
        <v>2.3165054441011437</v>
      </c>
      <c r="AY747" s="234">
        <f t="shared" si="125"/>
        <v>1.61539842956512</v>
      </c>
      <c r="AZ747" s="44"/>
      <c r="BA747" s="44" t="str">
        <f t="shared" ca="1" si="122"/>
        <v>VariantAllowances</v>
      </c>
      <c r="BB747" s="44" t="str">
        <f t="shared" si="123"/>
        <v>SO variant allowances</v>
      </c>
      <c r="BC747" s="44" t="str">
        <f t="shared" si="124"/>
        <v>Variant allowances allocation to totex categories</v>
      </c>
    </row>
    <row r="748" spans="1:55" s="9" customFormat="1">
      <c r="B748" s="8"/>
      <c r="C748"/>
      <c r="D748">
        <f t="shared" si="117"/>
        <v>2.5</v>
      </c>
      <c r="E748" s="195" t="str">
        <f t="shared" si="118"/>
        <v>Network decarbonisation and emissions compliance Re-opener</v>
      </c>
      <c r="F748" s="221"/>
      <c r="G748" s="196" t="str">
        <f t="shared" si="119"/>
        <v>£m 23/24 prices</v>
      </c>
      <c r="H748" s="196" t="str">
        <f t="shared" si="120"/>
        <v>Non-operational capex</v>
      </c>
      <c r="I748" s="196"/>
      <c r="J748" s="196"/>
      <c r="K748" s="196"/>
      <c r="L748" s="196"/>
      <c r="M748" s="196"/>
      <c r="N748" s="196"/>
      <c r="O748" s="196"/>
      <c r="P748" s="196"/>
      <c r="Q748" s="196"/>
      <c r="R748" s="196"/>
      <c r="S748" s="196"/>
      <c r="T748" s="196"/>
      <c r="U748" s="196"/>
      <c r="V748" s="196"/>
      <c r="W748" s="196"/>
      <c r="X748" s="196"/>
      <c r="Y748" s="196"/>
      <c r="Z748" s="196"/>
      <c r="AA748" s="196"/>
      <c r="AB748" s="196"/>
      <c r="AC748" s="196"/>
      <c r="AD748" s="196"/>
      <c r="AE748" s="196"/>
      <c r="AF748" s="196"/>
      <c r="AG748" s="196"/>
      <c r="AH748" s="196"/>
      <c r="AI748" s="196"/>
      <c r="AJ748" s="196"/>
      <c r="AK748" s="196"/>
      <c r="AL748" s="196"/>
      <c r="AM748" s="196"/>
      <c r="AN748" s="196"/>
      <c r="AO748" s="196"/>
      <c r="AP748" s="196"/>
      <c r="AQ748" s="196"/>
      <c r="AR748" s="196"/>
      <c r="AS748" s="196"/>
      <c r="AT748" s="197"/>
      <c r="AU748" s="229">
        <f t="shared" si="125"/>
        <v>0</v>
      </c>
      <c r="AV748" s="230">
        <f t="shared" si="125"/>
        <v>0</v>
      </c>
      <c r="AW748" s="230">
        <f t="shared" si="125"/>
        <v>0</v>
      </c>
      <c r="AX748" s="230">
        <f t="shared" si="125"/>
        <v>0</v>
      </c>
      <c r="AY748" s="231">
        <f t="shared" si="125"/>
        <v>0</v>
      </c>
      <c r="AZ748" s="44"/>
      <c r="BA748" s="44" t="str">
        <f t="shared" ca="1" si="122"/>
        <v>VariantAllowances</v>
      </c>
      <c r="BB748" s="44" t="str">
        <f t="shared" si="123"/>
        <v>SO variant allowances</v>
      </c>
      <c r="BC748" s="44" t="str">
        <f t="shared" si="124"/>
        <v>Variant allowances allocation to totex categories</v>
      </c>
    </row>
    <row r="749" spans="1:55" s="9" customFormat="1">
      <c r="B749" s="8"/>
      <c r="C749"/>
      <c r="D749">
        <f t="shared" si="117"/>
        <v>2.5</v>
      </c>
      <c r="E749" s="201" t="str">
        <f t="shared" si="118"/>
        <v>Network decarbonisation and emissions compliance Re-opener</v>
      </c>
      <c r="F749" s="225"/>
      <c r="G749" s="202" t="str">
        <f t="shared" si="119"/>
        <v>£m 23/24 prices</v>
      </c>
      <c r="H749" s="202" t="str">
        <f t="shared" si="120"/>
        <v>Controllable opex</v>
      </c>
      <c r="I749" s="202"/>
      <c r="J749" s="202"/>
      <c r="K749" s="202"/>
      <c r="L749" s="202"/>
      <c r="M749" s="202"/>
      <c r="N749" s="202"/>
      <c r="O749" s="202"/>
      <c r="P749" s="202"/>
      <c r="Q749" s="202"/>
      <c r="R749" s="202"/>
      <c r="S749" s="202"/>
      <c r="T749" s="202"/>
      <c r="U749" s="202"/>
      <c r="V749" s="202"/>
      <c r="W749" s="202"/>
      <c r="X749" s="202"/>
      <c r="Y749" s="202"/>
      <c r="Z749" s="202"/>
      <c r="AA749" s="202"/>
      <c r="AB749" s="202"/>
      <c r="AC749" s="202"/>
      <c r="AD749" s="202"/>
      <c r="AE749" s="202"/>
      <c r="AF749" s="202"/>
      <c r="AG749" s="202"/>
      <c r="AH749" s="202"/>
      <c r="AI749" s="202"/>
      <c r="AJ749" s="202"/>
      <c r="AK749" s="202"/>
      <c r="AL749" s="202"/>
      <c r="AM749" s="202"/>
      <c r="AN749" s="202"/>
      <c r="AO749" s="202"/>
      <c r="AP749" s="202"/>
      <c r="AQ749" s="202"/>
      <c r="AR749" s="202"/>
      <c r="AS749" s="202"/>
      <c r="AT749" s="203"/>
      <c r="AU749" s="232">
        <f t="shared" si="125"/>
        <v>0</v>
      </c>
      <c r="AV749" s="233">
        <f t="shared" si="125"/>
        <v>0</v>
      </c>
      <c r="AW749" s="233">
        <f t="shared" si="125"/>
        <v>0</v>
      </c>
      <c r="AX749" s="233">
        <f t="shared" si="125"/>
        <v>0</v>
      </c>
      <c r="AY749" s="234">
        <f t="shared" si="125"/>
        <v>0</v>
      </c>
      <c r="AZ749" s="44"/>
      <c r="BA749" s="44" t="str">
        <f t="shared" ca="1" si="122"/>
        <v>VariantAllowances</v>
      </c>
      <c r="BB749" s="44" t="str">
        <f t="shared" si="123"/>
        <v>SO variant allowances</v>
      </c>
      <c r="BC749" s="44" t="str">
        <f t="shared" si="124"/>
        <v>Variant allowances allocation to totex categories</v>
      </c>
    </row>
    <row r="750" spans="1:55" s="9" customFormat="1">
      <c r="B750" s="8"/>
      <c r="C750"/>
      <c r="D750">
        <f t="shared" si="117"/>
        <v>0</v>
      </c>
      <c r="E750" s="195" t="str">
        <f t="shared" si="118"/>
        <v>Spare 1</v>
      </c>
      <c r="F750" s="221"/>
      <c r="G750" s="196" t="str">
        <f t="shared" si="119"/>
        <v>£m 23/24 prices</v>
      </c>
      <c r="H750" s="196" t="str">
        <f t="shared" si="120"/>
        <v>Non-operational capex</v>
      </c>
      <c r="I750" s="196"/>
      <c r="J750" s="196"/>
      <c r="K750" s="196"/>
      <c r="L750" s="196"/>
      <c r="M750" s="196"/>
      <c r="N750" s="196"/>
      <c r="O750" s="196"/>
      <c r="P750" s="196"/>
      <c r="Q750" s="196"/>
      <c r="R750" s="196"/>
      <c r="S750" s="196"/>
      <c r="T750" s="196"/>
      <c r="U750" s="196"/>
      <c r="V750" s="196"/>
      <c r="W750" s="196"/>
      <c r="X750" s="196"/>
      <c r="Y750" s="196"/>
      <c r="Z750" s="196"/>
      <c r="AA750" s="196"/>
      <c r="AB750" s="196"/>
      <c r="AC750" s="196"/>
      <c r="AD750" s="196"/>
      <c r="AE750" s="196"/>
      <c r="AF750" s="196"/>
      <c r="AG750" s="196"/>
      <c r="AH750" s="196"/>
      <c r="AI750" s="196"/>
      <c r="AJ750" s="196"/>
      <c r="AK750" s="196"/>
      <c r="AL750" s="196"/>
      <c r="AM750" s="196"/>
      <c r="AN750" s="196"/>
      <c r="AO750" s="196"/>
      <c r="AP750" s="196"/>
      <c r="AQ750" s="196"/>
      <c r="AR750" s="196"/>
      <c r="AS750" s="196"/>
      <c r="AT750" s="197"/>
      <c r="AU750" s="229">
        <f t="shared" si="125"/>
        <v>0</v>
      </c>
      <c r="AV750" s="230">
        <f t="shared" si="125"/>
        <v>0</v>
      </c>
      <c r="AW750" s="230">
        <f t="shared" si="125"/>
        <v>0</v>
      </c>
      <c r="AX750" s="230">
        <f t="shared" si="125"/>
        <v>0</v>
      </c>
      <c r="AY750" s="231">
        <f t="shared" si="125"/>
        <v>0</v>
      </c>
      <c r="AZ750" s="44"/>
      <c r="BA750" s="44" t="str">
        <f t="shared" ca="1" si="122"/>
        <v>VariantAllowances</v>
      </c>
      <c r="BB750" s="44" t="str">
        <f t="shared" si="123"/>
        <v>SO variant allowances</v>
      </c>
      <c r="BC750" s="44" t="str">
        <f t="shared" si="124"/>
        <v>Variant allowances allocation to totex categories</v>
      </c>
    </row>
    <row r="751" spans="1:55" s="9" customFormat="1">
      <c r="B751" s="8"/>
      <c r="C751"/>
      <c r="D751">
        <f t="shared" si="117"/>
        <v>0</v>
      </c>
      <c r="E751" s="201" t="str">
        <f t="shared" si="118"/>
        <v>Spare 1</v>
      </c>
      <c r="F751" s="225"/>
      <c r="G751" s="202" t="str">
        <f t="shared" si="119"/>
        <v>£m 23/24 prices</v>
      </c>
      <c r="H751" s="202" t="str">
        <f t="shared" si="120"/>
        <v>Controllable opex</v>
      </c>
      <c r="I751" s="202"/>
      <c r="J751" s="202"/>
      <c r="K751" s="202"/>
      <c r="L751" s="202"/>
      <c r="M751" s="202"/>
      <c r="N751" s="202"/>
      <c r="O751" s="202"/>
      <c r="P751" s="202"/>
      <c r="Q751" s="202"/>
      <c r="R751" s="202"/>
      <c r="S751" s="202"/>
      <c r="T751" s="202"/>
      <c r="U751" s="202"/>
      <c r="V751" s="202"/>
      <c r="W751" s="202"/>
      <c r="X751" s="202"/>
      <c r="Y751" s="202"/>
      <c r="Z751" s="202"/>
      <c r="AA751" s="202"/>
      <c r="AB751" s="202"/>
      <c r="AC751" s="202"/>
      <c r="AD751" s="202"/>
      <c r="AE751" s="202"/>
      <c r="AF751" s="202"/>
      <c r="AG751" s="202"/>
      <c r="AH751" s="202"/>
      <c r="AI751" s="202"/>
      <c r="AJ751" s="202"/>
      <c r="AK751" s="202"/>
      <c r="AL751" s="202"/>
      <c r="AM751" s="202"/>
      <c r="AN751" s="202"/>
      <c r="AO751" s="202"/>
      <c r="AP751" s="202"/>
      <c r="AQ751" s="202"/>
      <c r="AR751" s="202"/>
      <c r="AS751" s="202"/>
      <c r="AT751" s="203"/>
      <c r="AU751" s="232">
        <f t="shared" si="125"/>
        <v>0</v>
      </c>
      <c r="AV751" s="233">
        <f t="shared" si="125"/>
        <v>0</v>
      </c>
      <c r="AW751" s="233">
        <f t="shared" si="125"/>
        <v>0</v>
      </c>
      <c r="AX751" s="233">
        <f t="shared" si="125"/>
        <v>0</v>
      </c>
      <c r="AY751" s="234">
        <f t="shared" si="125"/>
        <v>0</v>
      </c>
      <c r="AZ751" s="44"/>
      <c r="BA751" s="44" t="str">
        <f t="shared" ca="1" si="122"/>
        <v>VariantAllowances</v>
      </c>
      <c r="BB751" s="44" t="str">
        <f t="shared" si="123"/>
        <v>SO variant allowances</v>
      </c>
      <c r="BC751" s="44" t="str">
        <f t="shared" si="124"/>
        <v>Variant allowances allocation to totex categories</v>
      </c>
    </row>
    <row r="752" spans="1:55" s="9" customFormat="1">
      <c r="B752" s="8"/>
      <c r="C752"/>
      <c r="D752">
        <f t="shared" si="117"/>
        <v>0</v>
      </c>
      <c r="E752" s="195" t="str">
        <f t="shared" si="118"/>
        <v>Spare 2</v>
      </c>
      <c r="F752" s="221"/>
      <c r="G752" s="196" t="str">
        <f t="shared" si="119"/>
        <v>£m 23/24 prices</v>
      </c>
      <c r="H752" s="196" t="str">
        <f t="shared" si="120"/>
        <v>Non-operational capex</v>
      </c>
      <c r="I752" s="196"/>
      <c r="J752" s="196"/>
      <c r="K752" s="196"/>
      <c r="L752" s="196"/>
      <c r="M752" s="196"/>
      <c r="N752" s="196"/>
      <c r="O752" s="196"/>
      <c r="P752" s="196"/>
      <c r="Q752" s="196"/>
      <c r="R752" s="196"/>
      <c r="S752" s="196"/>
      <c r="T752" s="196"/>
      <c r="U752" s="196"/>
      <c r="V752" s="196"/>
      <c r="W752" s="196"/>
      <c r="X752" s="196"/>
      <c r="Y752" s="196"/>
      <c r="Z752" s="196"/>
      <c r="AA752" s="196"/>
      <c r="AB752" s="196"/>
      <c r="AC752" s="196"/>
      <c r="AD752" s="196"/>
      <c r="AE752" s="196"/>
      <c r="AF752" s="196"/>
      <c r="AG752" s="196"/>
      <c r="AH752" s="196"/>
      <c r="AI752" s="196"/>
      <c r="AJ752" s="196"/>
      <c r="AK752" s="196"/>
      <c r="AL752" s="196"/>
      <c r="AM752" s="196"/>
      <c r="AN752" s="196"/>
      <c r="AO752" s="196"/>
      <c r="AP752" s="196"/>
      <c r="AQ752" s="196"/>
      <c r="AR752" s="196"/>
      <c r="AS752" s="196"/>
      <c r="AT752" s="197"/>
      <c r="AU752" s="229">
        <f t="shared" ref="AU752:AY761" si="126">INDEX(AU$662:AU$677,MATCH($E752,$E$662:$E$677,0))*AU718</f>
        <v>0</v>
      </c>
      <c r="AV752" s="230">
        <f t="shared" si="126"/>
        <v>0</v>
      </c>
      <c r="AW752" s="230">
        <f t="shared" si="126"/>
        <v>0</v>
      </c>
      <c r="AX752" s="230">
        <f t="shared" si="126"/>
        <v>0</v>
      </c>
      <c r="AY752" s="231">
        <f t="shared" si="126"/>
        <v>0</v>
      </c>
      <c r="AZ752" s="44"/>
      <c r="BA752" s="44" t="str">
        <f t="shared" ca="1" si="122"/>
        <v>VariantAllowances</v>
      </c>
      <c r="BB752" s="44" t="str">
        <f t="shared" si="123"/>
        <v>SO variant allowances</v>
      </c>
      <c r="BC752" s="44" t="str">
        <f t="shared" si="124"/>
        <v>Variant allowances allocation to totex categories</v>
      </c>
    </row>
    <row r="753" spans="1:56" s="9" customFormat="1">
      <c r="B753" s="8"/>
      <c r="C753"/>
      <c r="D753">
        <f t="shared" si="117"/>
        <v>0</v>
      </c>
      <c r="E753" s="201" t="str">
        <f t="shared" si="118"/>
        <v>Spare 2</v>
      </c>
      <c r="F753" s="225"/>
      <c r="G753" s="202" t="str">
        <f t="shared" si="119"/>
        <v>£m 23/24 prices</v>
      </c>
      <c r="H753" s="202" t="str">
        <f t="shared" si="120"/>
        <v>Controllable opex</v>
      </c>
      <c r="I753" s="202"/>
      <c r="J753" s="202"/>
      <c r="K753" s="202"/>
      <c r="L753" s="202"/>
      <c r="M753" s="202"/>
      <c r="N753" s="202"/>
      <c r="O753" s="202"/>
      <c r="P753" s="202"/>
      <c r="Q753" s="202"/>
      <c r="R753" s="202"/>
      <c r="S753" s="202"/>
      <c r="T753" s="202"/>
      <c r="U753" s="202"/>
      <c r="V753" s="202"/>
      <c r="W753" s="202"/>
      <c r="X753" s="202"/>
      <c r="Y753" s="202"/>
      <c r="Z753" s="202"/>
      <c r="AA753" s="202"/>
      <c r="AB753" s="202"/>
      <c r="AC753" s="202"/>
      <c r="AD753" s="202"/>
      <c r="AE753" s="202"/>
      <c r="AF753" s="202"/>
      <c r="AG753" s="202"/>
      <c r="AH753" s="202"/>
      <c r="AI753" s="202"/>
      <c r="AJ753" s="202"/>
      <c r="AK753" s="202"/>
      <c r="AL753" s="202"/>
      <c r="AM753" s="202"/>
      <c r="AN753" s="202"/>
      <c r="AO753" s="202"/>
      <c r="AP753" s="202"/>
      <c r="AQ753" s="202"/>
      <c r="AR753" s="202"/>
      <c r="AS753" s="202"/>
      <c r="AT753" s="203"/>
      <c r="AU753" s="232">
        <f t="shared" si="126"/>
        <v>0</v>
      </c>
      <c r="AV753" s="233">
        <f t="shared" si="126"/>
        <v>0</v>
      </c>
      <c r="AW753" s="233">
        <f t="shared" si="126"/>
        <v>0</v>
      </c>
      <c r="AX753" s="233">
        <f t="shared" si="126"/>
        <v>0</v>
      </c>
      <c r="AY753" s="234">
        <f t="shared" si="126"/>
        <v>0</v>
      </c>
      <c r="AZ753" s="44"/>
      <c r="BA753" s="44" t="str">
        <f t="shared" ref="BA753:BA763" ca="1" si="127">$A$1</f>
        <v>VariantAllowances</v>
      </c>
      <c r="BB753" s="44" t="str">
        <f t="shared" si="123"/>
        <v>SO variant allowances</v>
      </c>
      <c r="BC753" s="44" t="str">
        <f t="shared" si="124"/>
        <v>Variant allowances allocation to totex categories</v>
      </c>
    </row>
    <row r="754" spans="1:56" s="9" customFormat="1">
      <c r="B754" s="8"/>
      <c r="C754"/>
      <c r="D754">
        <f t="shared" si="117"/>
        <v>0</v>
      </c>
      <c r="E754" s="195" t="str">
        <f t="shared" si="118"/>
        <v>Spare 3</v>
      </c>
      <c r="F754" s="221"/>
      <c r="G754" s="196" t="str">
        <f t="shared" si="119"/>
        <v>£m 23/24 prices</v>
      </c>
      <c r="H754" s="196" t="str">
        <f t="shared" si="120"/>
        <v>Non-operational capex</v>
      </c>
      <c r="I754" s="196"/>
      <c r="J754" s="196"/>
      <c r="K754" s="196"/>
      <c r="L754" s="196"/>
      <c r="M754" s="196"/>
      <c r="N754" s="196"/>
      <c r="O754" s="196"/>
      <c r="P754" s="196"/>
      <c r="Q754" s="196"/>
      <c r="R754" s="196"/>
      <c r="S754" s="196"/>
      <c r="T754" s="196"/>
      <c r="U754" s="196"/>
      <c r="V754" s="196"/>
      <c r="W754" s="196"/>
      <c r="X754" s="196"/>
      <c r="Y754" s="196"/>
      <c r="Z754" s="196"/>
      <c r="AA754" s="196"/>
      <c r="AB754" s="196"/>
      <c r="AC754" s="196"/>
      <c r="AD754" s="196"/>
      <c r="AE754" s="196"/>
      <c r="AF754" s="196"/>
      <c r="AG754" s="196"/>
      <c r="AH754" s="196"/>
      <c r="AI754" s="196"/>
      <c r="AJ754" s="196"/>
      <c r="AK754" s="196"/>
      <c r="AL754" s="196"/>
      <c r="AM754" s="196"/>
      <c r="AN754" s="196"/>
      <c r="AO754" s="196"/>
      <c r="AP754" s="196"/>
      <c r="AQ754" s="196"/>
      <c r="AR754" s="196"/>
      <c r="AS754" s="196"/>
      <c r="AT754" s="197"/>
      <c r="AU754" s="229">
        <f t="shared" si="126"/>
        <v>0</v>
      </c>
      <c r="AV754" s="230">
        <f t="shared" si="126"/>
        <v>0</v>
      </c>
      <c r="AW754" s="230">
        <f t="shared" si="126"/>
        <v>0</v>
      </c>
      <c r="AX754" s="230">
        <f t="shared" si="126"/>
        <v>0</v>
      </c>
      <c r="AY754" s="231">
        <f t="shared" si="126"/>
        <v>0</v>
      </c>
      <c r="AZ754" s="44"/>
      <c r="BA754" s="44" t="str">
        <f t="shared" ca="1" si="127"/>
        <v>VariantAllowances</v>
      </c>
      <c r="BB754" s="44" t="str">
        <f t="shared" si="123"/>
        <v>SO variant allowances</v>
      </c>
      <c r="BC754" s="44" t="str">
        <f t="shared" si="124"/>
        <v>Variant allowances allocation to totex categories</v>
      </c>
    </row>
    <row r="755" spans="1:56" s="9" customFormat="1">
      <c r="B755" s="8"/>
      <c r="C755"/>
      <c r="D755">
        <f t="shared" si="117"/>
        <v>0</v>
      </c>
      <c r="E755" s="201" t="str">
        <f t="shared" si="118"/>
        <v>Spare 3</v>
      </c>
      <c r="F755" s="225"/>
      <c r="G755" s="202" t="str">
        <f t="shared" si="119"/>
        <v>£m 23/24 prices</v>
      </c>
      <c r="H755" s="202" t="str">
        <f t="shared" si="120"/>
        <v>Controllable opex</v>
      </c>
      <c r="I755" s="202"/>
      <c r="J755" s="202"/>
      <c r="K755" s="202"/>
      <c r="L755" s="202"/>
      <c r="M755" s="202"/>
      <c r="N755" s="202"/>
      <c r="O755" s="202"/>
      <c r="P755" s="202"/>
      <c r="Q755" s="202"/>
      <c r="R755" s="202"/>
      <c r="S755" s="202"/>
      <c r="T755" s="202"/>
      <c r="U755" s="202"/>
      <c r="V755" s="202"/>
      <c r="W755" s="202"/>
      <c r="X755" s="202"/>
      <c r="Y755" s="202"/>
      <c r="Z755" s="202"/>
      <c r="AA755" s="202"/>
      <c r="AB755" s="202"/>
      <c r="AC755" s="202"/>
      <c r="AD755" s="202"/>
      <c r="AE755" s="202"/>
      <c r="AF755" s="202"/>
      <c r="AG755" s="202"/>
      <c r="AH755" s="202"/>
      <c r="AI755" s="202"/>
      <c r="AJ755" s="202"/>
      <c r="AK755" s="202"/>
      <c r="AL755" s="202"/>
      <c r="AM755" s="202"/>
      <c r="AN755" s="202"/>
      <c r="AO755" s="202"/>
      <c r="AP755" s="202"/>
      <c r="AQ755" s="202"/>
      <c r="AR755" s="202"/>
      <c r="AS755" s="202"/>
      <c r="AT755" s="203"/>
      <c r="AU755" s="232">
        <f t="shared" si="126"/>
        <v>0</v>
      </c>
      <c r="AV755" s="233">
        <f t="shared" si="126"/>
        <v>0</v>
      </c>
      <c r="AW755" s="233">
        <f t="shared" si="126"/>
        <v>0</v>
      </c>
      <c r="AX755" s="233">
        <f t="shared" si="126"/>
        <v>0</v>
      </c>
      <c r="AY755" s="234">
        <f t="shared" si="126"/>
        <v>0</v>
      </c>
      <c r="AZ755" s="44"/>
      <c r="BA755" s="44" t="str">
        <f t="shared" ca="1" si="127"/>
        <v>VariantAllowances</v>
      </c>
      <c r="BB755" s="44" t="str">
        <f t="shared" si="123"/>
        <v>SO variant allowances</v>
      </c>
      <c r="BC755" s="44" t="str">
        <f t="shared" si="124"/>
        <v>Variant allowances allocation to totex categories</v>
      </c>
    </row>
    <row r="756" spans="1:56" s="9" customFormat="1">
      <c r="B756" s="8"/>
      <c r="C756"/>
      <c r="D756">
        <f t="shared" si="117"/>
        <v>0</v>
      </c>
      <c r="E756" s="195" t="str">
        <f t="shared" si="118"/>
        <v>Spare 4</v>
      </c>
      <c r="F756" s="221"/>
      <c r="G756" s="196" t="str">
        <f t="shared" si="119"/>
        <v>£m 23/24 prices</v>
      </c>
      <c r="H756" s="196" t="str">
        <f t="shared" si="120"/>
        <v>Non-operational capex</v>
      </c>
      <c r="I756" s="196"/>
      <c r="J756" s="196"/>
      <c r="K756" s="196"/>
      <c r="L756" s="196"/>
      <c r="M756" s="196"/>
      <c r="N756" s="196"/>
      <c r="O756" s="196"/>
      <c r="P756" s="196"/>
      <c r="Q756" s="196"/>
      <c r="R756" s="196"/>
      <c r="S756" s="196"/>
      <c r="T756" s="196"/>
      <c r="U756" s="196"/>
      <c r="V756" s="196"/>
      <c r="W756" s="196"/>
      <c r="X756" s="196"/>
      <c r="Y756" s="196"/>
      <c r="Z756" s="196"/>
      <c r="AA756" s="196"/>
      <c r="AB756" s="196"/>
      <c r="AC756" s="196"/>
      <c r="AD756" s="196"/>
      <c r="AE756" s="196"/>
      <c r="AF756" s="196"/>
      <c r="AG756" s="196"/>
      <c r="AH756" s="196"/>
      <c r="AI756" s="196"/>
      <c r="AJ756" s="196"/>
      <c r="AK756" s="196"/>
      <c r="AL756" s="196"/>
      <c r="AM756" s="196"/>
      <c r="AN756" s="196"/>
      <c r="AO756" s="196"/>
      <c r="AP756" s="196"/>
      <c r="AQ756" s="196"/>
      <c r="AR756" s="196"/>
      <c r="AS756" s="196"/>
      <c r="AT756" s="197"/>
      <c r="AU756" s="229">
        <f t="shared" si="126"/>
        <v>0</v>
      </c>
      <c r="AV756" s="230">
        <f t="shared" si="126"/>
        <v>0</v>
      </c>
      <c r="AW756" s="230">
        <f t="shared" si="126"/>
        <v>0</v>
      </c>
      <c r="AX756" s="230">
        <f t="shared" si="126"/>
        <v>0</v>
      </c>
      <c r="AY756" s="231">
        <f t="shared" si="126"/>
        <v>0</v>
      </c>
      <c r="AZ756" s="44"/>
      <c r="BA756" s="44" t="str">
        <f t="shared" ca="1" si="127"/>
        <v>VariantAllowances</v>
      </c>
      <c r="BB756" s="44" t="str">
        <f t="shared" si="123"/>
        <v>SO variant allowances</v>
      </c>
      <c r="BC756" s="44" t="str">
        <f t="shared" si="124"/>
        <v>Variant allowances allocation to totex categories</v>
      </c>
    </row>
    <row r="757" spans="1:56" s="9" customFormat="1">
      <c r="B757" s="8"/>
      <c r="C757"/>
      <c r="D757">
        <f t="shared" si="117"/>
        <v>0</v>
      </c>
      <c r="E757" s="201" t="str">
        <f t="shared" si="118"/>
        <v>Spare 4</v>
      </c>
      <c r="F757" s="225"/>
      <c r="G757" s="202" t="str">
        <f t="shared" si="119"/>
        <v>£m 23/24 prices</v>
      </c>
      <c r="H757" s="202" t="str">
        <f t="shared" si="120"/>
        <v>Controllable opex</v>
      </c>
      <c r="I757" s="202"/>
      <c r="J757" s="202"/>
      <c r="K757" s="202"/>
      <c r="L757" s="202"/>
      <c r="M757" s="202"/>
      <c r="N757" s="202"/>
      <c r="O757" s="202"/>
      <c r="P757" s="202"/>
      <c r="Q757" s="202"/>
      <c r="R757" s="202"/>
      <c r="S757" s="202"/>
      <c r="T757" s="202"/>
      <c r="U757" s="202"/>
      <c r="V757" s="202"/>
      <c r="W757" s="202"/>
      <c r="X757" s="202"/>
      <c r="Y757" s="202"/>
      <c r="Z757" s="202"/>
      <c r="AA757" s="202"/>
      <c r="AB757" s="202"/>
      <c r="AC757" s="202"/>
      <c r="AD757" s="202"/>
      <c r="AE757" s="202"/>
      <c r="AF757" s="202"/>
      <c r="AG757" s="202"/>
      <c r="AH757" s="202"/>
      <c r="AI757" s="202"/>
      <c r="AJ757" s="202"/>
      <c r="AK757" s="202"/>
      <c r="AL757" s="202"/>
      <c r="AM757" s="202"/>
      <c r="AN757" s="202"/>
      <c r="AO757" s="202"/>
      <c r="AP757" s="202"/>
      <c r="AQ757" s="202"/>
      <c r="AR757" s="202"/>
      <c r="AS757" s="202"/>
      <c r="AT757" s="203"/>
      <c r="AU757" s="232">
        <f t="shared" si="126"/>
        <v>0</v>
      </c>
      <c r="AV757" s="233">
        <f t="shared" si="126"/>
        <v>0</v>
      </c>
      <c r="AW757" s="233">
        <f t="shared" si="126"/>
        <v>0</v>
      </c>
      <c r="AX757" s="233">
        <f t="shared" si="126"/>
        <v>0</v>
      </c>
      <c r="AY757" s="234">
        <f t="shared" si="126"/>
        <v>0</v>
      </c>
      <c r="AZ757" s="44"/>
      <c r="BA757" s="44" t="str">
        <f t="shared" ca="1" si="127"/>
        <v>VariantAllowances</v>
      </c>
      <c r="BB757" s="44" t="str">
        <f t="shared" si="123"/>
        <v>SO variant allowances</v>
      </c>
      <c r="BC757" s="44" t="str">
        <f t="shared" si="124"/>
        <v>Variant allowances allocation to totex categories</v>
      </c>
    </row>
    <row r="758" spans="1:56" s="9" customFormat="1">
      <c r="B758" s="8"/>
      <c r="C758"/>
      <c r="D758">
        <f t="shared" si="117"/>
        <v>0</v>
      </c>
      <c r="E758" s="195" t="str">
        <f t="shared" si="118"/>
        <v>Spare 5</v>
      </c>
      <c r="F758" s="221"/>
      <c r="G758" s="196" t="str">
        <f t="shared" si="119"/>
        <v>£m 23/24 prices</v>
      </c>
      <c r="H758" s="196" t="str">
        <f t="shared" si="120"/>
        <v>Non-operational capex</v>
      </c>
      <c r="I758" s="196"/>
      <c r="J758" s="196"/>
      <c r="K758" s="196"/>
      <c r="L758" s="196"/>
      <c r="M758" s="196"/>
      <c r="N758" s="196"/>
      <c r="O758" s="196"/>
      <c r="P758" s="196"/>
      <c r="Q758" s="196"/>
      <c r="R758" s="196"/>
      <c r="S758" s="196"/>
      <c r="T758" s="196"/>
      <c r="U758" s="196"/>
      <c r="V758" s="196"/>
      <c r="W758" s="196"/>
      <c r="X758" s="196"/>
      <c r="Y758" s="196"/>
      <c r="Z758" s="196"/>
      <c r="AA758" s="196"/>
      <c r="AB758" s="196"/>
      <c r="AC758" s="196"/>
      <c r="AD758" s="196"/>
      <c r="AE758" s="196"/>
      <c r="AF758" s="196"/>
      <c r="AG758" s="196"/>
      <c r="AH758" s="196"/>
      <c r="AI758" s="196"/>
      <c r="AJ758" s="196"/>
      <c r="AK758" s="196"/>
      <c r="AL758" s="196"/>
      <c r="AM758" s="196"/>
      <c r="AN758" s="196"/>
      <c r="AO758" s="196"/>
      <c r="AP758" s="196"/>
      <c r="AQ758" s="196"/>
      <c r="AR758" s="196"/>
      <c r="AS758" s="196"/>
      <c r="AT758" s="197"/>
      <c r="AU758" s="229">
        <f t="shared" si="126"/>
        <v>0</v>
      </c>
      <c r="AV758" s="230">
        <f t="shared" si="126"/>
        <v>0</v>
      </c>
      <c r="AW758" s="230">
        <f t="shared" si="126"/>
        <v>0</v>
      </c>
      <c r="AX758" s="230">
        <f t="shared" si="126"/>
        <v>0</v>
      </c>
      <c r="AY758" s="231">
        <f t="shared" si="126"/>
        <v>0</v>
      </c>
      <c r="AZ758" s="44"/>
      <c r="BA758" s="44" t="str">
        <f t="shared" ca="1" si="127"/>
        <v>VariantAllowances</v>
      </c>
      <c r="BB758" s="44" t="str">
        <f t="shared" si="123"/>
        <v>SO variant allowances</v>
      </c>
      <c r="BC758" s="44" t="str">
        <f t="shared" si="124"/>
        <v>Variant allowances allocation to totex categories</v>
      </c>
    </row>
    <row r="759" spans="1:56" s="9" customFormat="1">
      <c r="B759" s="8"/>
      <c r="C759"/>
      <c r="D759">
        <f t="shared" si="117"/>
        <v>0</v>
      </c>
      <c r="E759" s="201" t="str">
        <f t="shared" si="118"/>
        <v>Spare 5</v>
      </c>
      <c r="F759" s="225"/>
      <c r="G759" s="202" t="str">
        <f t="shared" si="119"/>
        <v>£m 23/24 prices</v>
      </c>
      <c r="H759" s="202" t="str">
        <f t="shared" si="120"/>
        <v>Controllable opex</v>
      </c>
      <c r="I759" s="202"/>
      <c r="J759" s="202"/>
      <c r="K759" s="202"/>
      <c r="L759" s="202"/>
      <c r="M759" s="202"/>
      <c r="N759" s="202"/>
      <c r="O759" s="202"/>
      <c r="P759" s="202"/>
      <c r="Q759" s="202"/>
      <c r="R759" s="202"/>
      <c r="S759" s="202"/>
      <c r="T759" s="202"/>
      <c r="U759" s="202"/>
      <c r="V759" s="202"/>
      <c r="W759" s="202"/>
      <c r="X759" s="202"/>
      <c r="Y759" s="202"/>
      <c r="Z759" s="202"/>
      <c r="AA759" s="202"/>
      <c r="AB759" s="202"/>
      <c r="AC759" s="202"/>
      <c r="AD759" s="202"/>
      <c r="AE759" s="202"/>
      <c r="AF759" s="202"/>
      <c r="AG759" s="202"/>
      <c r="AH759" s="202"/>
      <c r="AI759" s="202"/>
      <c r="AJ759" s="202"/>
      <c r="AK759" s="202"/>
      <c r="AL759" s="202"/>
      <c r="AM759" s="202"/>
      <c r="AN759" s="202"/>
      <c r="AO759" s="202"/>
      <c r="AP759" s="202"/>
      <c r="AQ759" s="202"/>
      <c r="AR759" s="202"/>
      <c r="AS759" s="202"/>
      <c r="AT759" s="203"/>
      <c r="AU759" s="232">
        <f t="shared" si="126"/>
        <v>0</v>
      </c>
      <c r="AV759" s="233">
        <f t="shared" si="126"/>
        <v>0</v>
      </c>
      <c r="AW759" s="233">
        <f t="shared" si="126"/>
        <v>0</v>
      </c>
      <c r="AX759" s="233">
        <f t="shared" si="126"/>
        <v>0</v>
      </c>
      <c r="AY759" s="234">
        <f t="shared" si="126"/>
        <v>0</v>
      </c>
      <c r="AZ759" s="44"/>
      <c r="BA759" s="44" t="str">
        <f t="shared" ca="1" si="127"/>
        <v>VariantAllowances</v>
      </c>
      <c r="BB759" s="44" t="str">
        <f t="shared" si="123"/>
        <v>SO variant allowances</v>
      </c>
      <c r="BC759" s="44" t="str">
        <f t="shared" si="124"/>
        <v>Variant allowances allocation to totex categories</v>
      </c>
    </row>
    <row r="760" spans="1:56" s="9" customFormat="1">
      <c r="B760" s="8"/>
      <c r="C760"/>
      <c r="D760">
        <f t="shared" si="117"/>
        <v>0</v>
      </c>
      <c r="E760" s="195" t="str">
        <f t="shared" si="118"/>
        <v>Spare 6</v>
      </c>
      <c r="F760" s="221"/>
      <c r="G760" s="196" t="str">
        <f t="shared" si="119"/>
        <v>£m 23/24 prices</v>
      </c>
      <c r="H760" s="196" t="str">
        <f t="shared" si="120"/>
        <v>Non-operational capex</v>
      </c>
      <c r="I760" s="196"/>
      <c r="J760" s="196"/>
      <c r="K760" s="196"/>
      <c r="L760" s="196"/>
      <c r="M760" s="196"/>
      <c r="N760" s="196"/>
      <c r="O760" s="196"/>
      <c r="P760" s="196"/>
      <c r="Q760" s="196"/>
      <c r="R760" s="196"/>
      <c r="S760" s="196"/>
      <c r="T760" s="196"/>
      <c r="U760" s="196"/>
      <c r="V760" s="196"/>
      <c r="W760" s="196"/>
      <c r="X760" s="196"/>
      <c r="Y760" s="196"/>
      <c r="Z760" s="196"/>
      <c r="AA760" s="196"/>
      <c r="AB760" s="196"/>
      <c r="AC760" s="196"/>
      <c r="AD760" s="196"/>
      <c r="AE760" s="196"/>
      <c r="AF760" s="196"/>
      <c r="AG760" s="196"/>
      <c r="AH760" s="196"/>
      <c r="AI760" s="196"/>
      <c r="AJ760" s="196"/>
      <c r="AK760" s="196"/>
      <c r="AL760" s="196"/>
      <c r="AM760" s="196"/>
      <c r="AN760" s="196"/>
      <c r="AO760" s="196"/>
      <c r="AP760" s="196"/>
      <c r="AQ760" s="196"/>
      <c r="AR760" s="196"/>
      <c r="AS760" s="196"/>
      <c r="AT760" s="197"/>
      <c r="AU760" s="229">
        <f t="shared" si="126"/>
        <v>0</v>
      </c>
      <c r="AV760" s="230">
        <f t="shared" si="126"/>
        <v>0</v>
      </c>
      <c r="AW760" s="230">
        <f t="shared" si="126"/>
        <v>0</v>
      </c>
      <c r="AX760" s="230">
        <f t="shared" si="126"/>
        <v>0</v>
      </c>
      <c r="AY760" s="231">
        <f t="shared" si="126"/>
        <v>0</v>
      </c>
      <c r="AZ760" s="44"/>
      <c r="BA760" s="44" t="str">
        <f t="shared" ca="1" si="127"/>
        <v>VariantAllowances</v>
      </c>
      <c r="BB760" s="44" t="str">
        <f t="shared" si="123"/>
        <v>SO variant allowances</v>
      </c>
      <c r="BC760" s="44" t="str">
        <f t="shared" si="124"/>
        <v>Variant allowances allocation to totex categories</v>
      </c>
    </row>
    <row r="761" spans="1:56" s="9" customFormat="1">
      <c r="B761" s="8"/>
      <c r="C761"/>
      <c r="D761">
        <f t="shared" si="117"/>
        <v>0</v>
      </c>
      <c r="E761" s="201" t="str">
        <f t="shared" si="118"/>
        <v>Spare 6</v>
      </c>
      <c r="F761" s="225"/>
      <c r="G761" s="202" t="str">
        <f t="shared" si="119"/>
        <v>£m 23/24 prices</v>
      </c>
      <c r="H761" s="202" t="str">
        <f t="shared" si="120"/>
        <v>Controllable opex</v>
      </c>
      <c r="I761" s="202"/>
      <c r="J761" s="202"/>
      <c r="K761" s="202"/>
      <c r="L761" s="202"/>
      <c r="M761" s="202"/>
      <c r="N761" s="202"/>
      <c r="O761" s="202"/>
      <c r="P761" s="202"/>
      <c r="Q761" s="202"/>
      <c r="R761" s="202"/>
      <c r="S761" s="202"/>
      <c r="T761" s="202"/>
      <c r="U761" s="202"/>
      <c r="V761" s="202"/>
      <c r="W761" s="202"/>
      <c r="X761" s="202"/>
      <c r="Y761" s="202"/>
      <c r="Z761" s="202"/>
      <c r="AA761" s="202"/>
      <c r="AB761" s="202"/>
      <c r="AC761" s="202"/>
      <c r="AD761" s="202"/>
      <c r="AE761" s="202"/>
      <c r="AF761" s="202"/>
      <c r="AG761" s="202"/>
      <c r="AH761" s="202"/>
      <c r="AI761" s="202"/>
      <c r="AJ761" s="202"/>
      <c r="AK761" s="202"/>
      <c r="AL761" s="202"/>
      <c r="AM761" s="202"/>
      <c r="AN761" s="202"/>
      <c r="AO761" s="202"/>
      <c r="AP761" s="202"/>
      <c r="AQ761" s="202"/>
      <c r="AR761" s="202"/>
      <c r="AS761" s="202"/>
      <c r="AT761" s="203"/>
      <c r="AU761" s="232">
        <f t="shared" si="126"/>
        <v>0</v>
      </c>
      <c r="AV761" s="233">
        <f t="shared" si="126"/>
        <v>0</v>
      </c>
      <c r="AW761" s="233">
        <f t="shared" si="126"/>
        <v>0</v>
      </c>
      <c r="AX761" s="233">
        <f t="shared" si="126"/>
        <v>0</v>
      </c>
      <c r="AY761" s="234">
        <f t="shared" si="126"/>
        <v>0</v>
      </c>
      <c r="AZ761" s="44"/>
      <c r="BA761" s="44" t="str">
        <f t="shared" ca="1" si="127"/>
        <v>VariantAllowances</v>
      </c>
      <c r="BB761" s="44" t="str">
        <f t="shared" si="123"/>
        <v>SO variant allowances</v>
      </c>
      <c r="BC761" s="44" t="str">
        <f t="shared" si="124"/>
        <v>Variant allowances allocation to totex categories</v>
      </c>
    </row>
    <row r="762" spans="1:56" s="9" customFormat="1">
      <c r="B762" s="8"/>
      <c r="C762"/>
      <c r="D762">
        <f t="shared" si="117"/>
        <v>0</v>
      </c>
      <c r="E762" s="195" t="str">
        <f t="shared" si="118"/>
        <v>Spare 7</v>
      </c>
      <c r="F762" s="221"/>
      <c r="G762" s="196" t="str">
        <f t="shared" si="119"/>
        <v>£m 23/24 prices</v>
      </c>
      <c r="H762" s="196" t="str">
        <f t="shared" si="120"/>
        <v>Non-operational capex</v>
      </c>
      <c r="I762" s="196"/>
      <c r="J762" s="196"/>
      <c r="K762" s="196"/>
      <c r="L762" s="196"/>
      <c r="M762" s="196"/>
      <c r="N762" s="196"/>
      <c r="O762" s="196"/>
      <c r="P762" s="196"/>
      <c r="Q762" s="196"/>
      <c r="R762" s="196"/>
      <c r="S762" s="196"/>
      <c r="T762" s="196"/>
      <c r="U762" s="196"/>
      <c r="V762" s="196"/>
      <c r="W762" s="196"/>
      <c r="X762" s="196"/>
      <c r="Y762" s="196"/>
      <c r="Z762" s="196"/>
      <c r="AA762" s="196"/>
      <c r="AB762" s="196"/>
      <c r="AC762" s="196"/>
      <c r="AD762" s="196"/>
      <c r="AE762" s="196"/>
      <c r="AF762" s="196"/>
      <c r="AG762" s="196"/>
      <c r="AH762" s="196"/>
      <c r="AI762" s="196"/>
      <c r="AJ762" s="196"/>
      <c r="AK762" s="196"/>
      <c r="AL762" s="196"/>
      <c r="AM762" s="196"/>
      <c r="AN762" s="196"/>
      <c r="AO762" s="196"/>
      <c r="AP762" s="196"/>
      <c r="AQ762" s="196"/>
      <c r="AR762" s="196"/>
      <c r="AS762" s="196"/>
      <c r="AT762" s="197"/>
      <c r="AU762" s="229">
        <f t="shared" ref="AU762:AY763" si="128">INDEX(AU$662:AU$677,MATCH($E762,$E$662:$E$677,0))*AU728</f>
        <v>0</v>
      </c>
      <c r="AV762" s="230">
        <f t="shared" si="128"/>
        <v>0</v>
      </c>
      <c r="AW762" s="230">
        <f t="shared" si="128"/>
        <v>0</v>
      </c>
      <c r="AX762" s="230">
        <f t="shared" si="128"/>
        <v>0</v>
      </c>
      <c r="AY762" s="231">
        <f t="shared" si="128"/>
        <v>0</v>
      </c>
      <c r="AZ762" s="44"/>
      <c r="BA762" s="44" t="str">
        <f t="shared" ca="1" si="127"/>
        <v>VariantAllowances</v>
      </c>
      <c r="BB762" s="44" t="str">
        <f t="shared" si="123"/>
        <v>SO variant allowances</v>
      </c>
      <c r="BC762" s="44" t="str">
        <f t="shared" si="124"/>
        <v>Variant allowances allocation to totex categories</v>
      </c>
    </row>
    <row r="763" spans="1:56" s="9" customFormat="1">
      <c r="B763" s="8"/>
      <c r="C763"/>
      <c r="D763">
        <f t="shared" si="117"/>
        <v>0</v>
      </c>
      <c r="E763" s="201" t="str">
        <f t="shared" si="118"/>
        <v>Spare 7</v>
      </c>
      <c r="F763" s="225"/>
      <c r="G763" s="202" t="str">
        <f t="shared" si="119"/>
        <v>£m 23/24 prices</v>
      </c>
      <c r="H763" s="202" t="str">
        <f t="shared" si="120"/>
        <v>Controllable opex</v>
      </c>
      <c r="I763" s="202"/>
      <c r="J763" s="202"/>
      <c r="K763" s="202"/>
      <c r="L763" s="202"/>
      <c r="M763" s="202"/>
      <c r="N763" s="202"/>
      <c r="O763" s="202"/>
      <c r="P763" s="202"/>
      <c r="Q763" s="202"/>
      <c r="R763" s="202"/>
      <c r="S763" s="202"/>
      <c r="T763" s="202"/>
      <c r="U763" s="202"/>
      <c r="V763" s="202"/>
      <c r="W763" s="202"/>
      <c r="X763" s="202"/>
      <c r="Y763" s="202"/>
      <c r="Z763" s="202"/>
      <c r="AA763" s="202"/>
      <c r="AB763" s="202"/>
      <c r="AC763" s="202"/>
      <c r="AD763" s="202"/>
      <c r="AE763" s="202"/>
      <c r="AF763" s="202"/>
      <c r="AG763" s="202"/>
      <c r="AH763" s="202"/>
      <c r="AI763" s="202"/>
      <c r="AJ763" s="202"/>
      <c r="AK763" s="202"/>
      <c r="AL763" s="202"/>
      <c r="AM763" s="202"/>
      <c r="AN763" s="202"/>
      <c r="AO763" s="202"/>
      <c r="AP763" s="202"/>
      <c r="AQ763" s="202"/>
      <c r="AR763" s="202"/>
      <c r="AS763" s="202"/>
      <c r="AT763" s="203"/>
      <c r="AU763" s="232">
        <f t="shared" si="128"/>
        <v>0</v>
      </c>
      <c r="AV763" s="233">
        <f t="shared" si="128"/>
        <v>0</v>
      </c>
      <c r="AW763" s="233">
        <f t="shared" si="128"/>
        <v>0</v>
      </c>
      <c r="AX763" s="233">
        <f t="shared" si="128"/>
        <v>0</v>
      </c>
      <c r="AY763" s="234">
        <f t="shared" si="128"/>
        <v>0</v>
      </c>
      <c r="AZ763" s="44"/>
      <c r="BA763" s="44" t="str">
        <f t="shared" ca="1" si="127"/>
        <v>VariantAllowances</v>
      </c>
      <c r="BB763" s="44" t="str">
        <f t="shared" si="123"/>
        <v>SO variant allowances</v>
      </c>
      <c r="BC763" s="44" t="str">
        <f t="shared" si="124"/>
        <v>Variant allowances allocation to totex categories</v>
      </c>
    </row>
    <row r="764" spans="1:56">
      <c r="AU764"/>
      <c r="AV764"/>
      <c r="AW764"/>
      <c r="AX764"/>
      <c r="AY764"/>
      <c r="AZ764" s="44"/>
    </row>
    <row r="765" spans="1:56" ht="17.5" thickBot="1">
      <c r="B765" s="11" t="s">
        <v>237</v>
      </c>
      <c r="AZ765" s="44"/>
    </row>
    <row r="766" spans="1:56" ht="17" thickTop="1" thickBot="1">
      <c r="C766" s="14" t="s">
        <v>238</v>
      </c>
      <c r="AZ766" s="44"/>
    </row>
    <row r="767" spans="1:56">
      <c r="A767"/>
      <c r="E767" s="43" t="str">
        <f>NGT_TO!E504</f>
        <v>RPE annual growth</v>
      </c>
      <c r="G767" s="43" t="s">
        <v>33</v>
      </c>
      <c r="H767" s="48" t="s">
        <v>1084</v>
      </c>
      <c r="J767" s="43" t="s">
        <v>10</v>
      </c>
      <c r="AS767" s="56">
        <f>NGT_SO!AS150</f>
        <v>1.1251419392397453E-2</v>
      </c>
      <c r="AT767" s="86">
        <f>NGT_SO!AT150</f>
        <v>3.7340686527174817E-3</v>
      </c>
      <c r="AU767" s="175">
        <f>NGT_SO!AU150</f>
        <v>1.8E-3</v>
      </c>
      <c r="AV767" s="56">
        <f>NGT_SO!AV150</f>
        <v>-2.0000000000000001E-4</v>
      </c>
      <c r="AW767" s="56">
        <f>NGT_SO!AW150</f>
        <v>5.0000000000000001E-4</v>
      </c>
      <c r="AX767" s="56">
        <f>NGT_SO!AX150</f>
        <v>1.6000000000000001E-3</v>
      </c>
      <c r="AY767" s="56">
        <f>NGT_SO!AY150</f>
        <v>4.0000000000000001E-3</v>
      </c>
      <c r="AZ767" s="44"/>
      <c r="BA767" s="44" t="str">
        <f ca="1">$A$1</f>
        <v>VariantAllowances</v>
      </c>
      <c r="BB767" s="44" t="str">
        <f t="shared" ref="BB767:BB768" si="129">$A$660</f>
        <v>SO variant allowances</v>
      </c>
      <c r="BC767" s="44" t="str">
        <f>$B$765</f>
        <v>Real Price Effects</v>
      </c>
      <c r="BD767" s="44" t="str">
        <f>$C$766</f>
        <v>RPE indexation</v>
      </c>
    </row>
    <row r="768" spans="1:56">
      <c r="A768"/>
      <c r="E768" s="43" t="s">
        <v>130</v>
      </c>
      <c r="G768" s="43" t="s">
        <v>102</v>
      </c>
      <c r="J768" s="43" t="s">
        <v>10</v>
      </c>
      <c r="AU768" s="183" cm="1">
        <f t="array" ref="AU768">PRODUCT(1+$AS767:AU767)</f>
        <v>1.0168545511204781</v>
      </c>
      <c r="AV768" s="85" cm="1">
        <f t="array" ref="AV768">PRODUCT(1+$AS767:AV767)</f>
        <v>1.016651180210254</v>
      </c>
      <c r="AW768" s="85" cm="1">
        <f t="array" ref="AW768">PRODUCT(1+$AS767:AW767)</f>
        <v>1.0171595058003591</v>
      </c>
      <c r="AX768" s="85" cm="1">
        <f t="array" ref="AX768">PRODUCT(1+$AS767:AX767)</f>
        <v>1.0187869610096396</v>
      </c>
      <c r="AY768" s="85" cm="1">
        <f t="array" ref="AY768">PRODUCT(1+$AS767:AY767)</f>
        <v>1.0228621088536782</v>
      </c>
      <c r="AZ768" s="44"/>
      <c r="BA768" s="44" t="str">
        <f ca="1">$A$1</f>
        <v>VariantAllowances</v>
      </c>
      <c r="BB768" s="44" t="str">
        <f t="shared" si="129"/>
        <v>SO variant allowances</v>
      </c>
      <c r="BC768" s="44" t="str">
        <f>$B$765</f>
        <v>Real Price Effects</v>
      </c>
      <c r="BD768" s="44" t="str">
        <f>$C$766</f>
        <v>RPE indexation</v>
      </c>
    </row>
    <row r="769" spans="1:56">
      <c r="AU769"/>
      <c r="AV769"/>
      <c r="AW769"/>
      <c r="AX769"/>
      <c r="AY769"/>
      <c r="AZ769" s="44"/>
    </row>
    <row r="770" spans="1:56" ht="16.5" thickBot="1">
      <c r="C770" s="14" t="s">
        <v>239</v>
      </c>
      <c r="AU770"/>
      <c r="AV770"/>
      <c r="AW770"/>
      <c r="AX770"/>
      <c r="AY770"/>
      <c r="AZ770" s="44"/>
    </row>
    <row r="771" spans="1:56">
      <c r="E771" s="43" t="s">
        <v>136</v>
      </c>
      <c r="G771" s="43" t="str">
        <f t="shared" ref="G771:G777" si="130">price_label</f>
        <v>£m 23/24 prices</v>
      </c>
      <c r="H771" s="43" t="s">
        <v>275</v>
      </c>
      <c r="AU771" s="143">
        <f>NGT_SO!AU134*(AU$768-1)</f>
        <v>0.67669569629905024</v>
      </c>
      <c r="AV771" s="54">
        <f>NGT_SO!AV134*(AV$768-1)</f>
        <v>0.72290075939029297</v>
      </c>
      <c r="AW771" s="54">
        <f>NGT_SO!AW134*(AW$768-1)</f>
        <v>0.51434033609725804</v>
      </c>
      <c r="AX771" s="54">
        <f>NGT_SO!AX134*(AX$768-1)</f>
        <v>0.6012965803216006</v>
      </c>
      <c r="AY771" s="54">
        <f>NGT_SO!AY134*(AY$768-1)</f>
        <v>0.6286760212292819</v>
      </c>
      <c r="BA771" s="44" t="str">
        <f t="shared" ref="BA771:BA777" ca="1" si="131">$A$1</f>
        <v>VariantAllowances</v>
      </c>
      <c r="BB771" s="44" t="str">
        <f t="shared" ref="BB771:BB777" si="132">$A$660</f>
        <v>SO variant allowances</v>
      </c>
      <c r="BC771" s="44" t="str">
        <f t="shared" ref="BC771:BC777" si="133">$B$765</f>
        <v>Real Price Effects</v>
      </c>
      <c r="BD771" s="44" t="str">
        <f t="shared" ref="BD771:BD777" si="134">$C$770</f>
        <v>RPE allowances</v>
      </c>
    </row>
    <row r="772" spans="1:56">
      <c r="E772" s="43" t="s">
        <v>136</v>
      </c>
      <c r="G772" s="43" t="str">
        <f t="shared" si="130"/>
        <v>£m 23/24 prices</v>
      </c>
      <c r="H772" s="43" t="s">
        <v>279</v>
      </c>
      <c r="AU772" s="143">
        <f>NGT_SO!AU135*(AU$768-1)</f>
        <v>1.2093037664786275</v>
      </c>
      <c r="AV772" s="54">
        <f>NGT_SO!AV135*(AV$768-1)</f>
        <v>1.2021159569463351</v>
      </c>
      <c r="AW772" s="54">
        <f>NGT_SO!AW135*(AW$768-1)</f>
        <v>1.2425564482377633</v>
      </c>
      <c r="AX772" s="54">
        <f>NGT_SO!AX135*(AX$768-1)</f>
        <v>1.3374861089610182</v>
      </c>
      <c r="AY772" s="54">
        <f>NGT_SO!AY135*(AY$768-1)</f>
        <v>1.6122357386511659</v>
      </c>
      <c r="AZ772" s="44"/>
      <c r="BA772" s="44" t="str">
        <f t="shared" ca="1" si="131"/>
        <v>VariantAllowances</v>
      </c>
      <c r="BB772" s="44" t="str">
        <f t="shared" si="132"/>
        <v>SO variant allowances</v>
      </c>
      <c r="BC772" s="44" t="str">
        <f t="shared" si="133"/>
        <v>Real Price Effects</v>
      </c>
      <c r="BD772" s="44" t="str">
        <f t="shared" si="134"/>
        <v>RPE allowances</v>
      </c>
    </row>
    <row r="773" spans="1:56" customFormat="1" ht="14.5">
      <c r="F773" s="151"/>
      <c r="AT773" s="77"/>
    </row>
    <row r="774" spans="1:56">
      <c r="D774">
        <v>1</v>
      </c>
      <c r="E774" s="196" t="s">
        <v>137</v>
      </c>
      <c r="F774" s="221"/>
      <c r="G774" s="196" t="str">
        <f t="shared" si="130"/>
        <v>£m 23/24 prices</v>
      </c>
      <c r="H774" s="196" t="s">
        <v>275</v>
      </c>
      <c r="I774" s="196"/>
      <c r="J774" s="196"/>
      <c r="K774" s="196"/>
      <c r="L774" s="196"/>
      <c r="M774" s="196"/>
      <c r="N774" s="196"/>
      <c r="O774" s="196"/>
      <c r="P774" s="196"/>
      <c r="Q774" s="196"/>
      <c r="R774" s="196"/>
      <c r="S774" s="196"/>
      <c r="T774" s="196"/>
      <c r="U774" s="196"/>
      <c r="V774" s="196"/>
      <c r="W774" s="196"/>
      <c r="X774" s="196"/>
      <c r="Y774" s="196"/>
      <c r="Z774" s="196"/>
      <c r="AA774" s="196"/>
      <c r="AB774" s="196"/>
      <c r="AC774" s="196"/>
      <c r="AD774" s="196"/>
      <c r="AE774" s="196"/>
      <c r="AF774" s="196"/>
      <c r="AG774" s="196"/>
      <c r="AH774" s="196"/>
      <c r="AI774" s="196"/>
      <c r="AJ774" s="196"/>
      <c r="AK774" s="196"/>
      <c r="AL774" s="196"/>
      <c r="AM774" s="196"/>
      <c r="AN774" s="196"/>
      <c r="AO774" s="196"/>
      <c r="AP774" s="196"/>
      <c r="AQ774" s="196"/>
      <c r="AR774" s="196"/>
      <c r="AS774" s="196"/>
      <c r="AT774" s="197"/>
      <c r="AU774" s="229">
        <f t="shared" ref="AU774:AY777" si="135">SUMIFS(AU$732:AU$763,$H$732:$H$763,$H774,$D$732:$D$763,$D774)*(AU$768-1)</f>
        <v>0.12884547434136159</v>
      </c>
      <c r="AV774" s="230">
        <f t="shared" si="135"/>
        <v>0.11098109960140873</v>
      </c>
      <c r="AW774" s="230">
        <f t="shared" si="135"/>
        <v>0.11323712082158079</v>
      </c>
      <c r="AX774" s="230">
        <f t="shared" si="135"/>
        <v>9.373640590112077E-2</v>
      </c>
      <c r="AY774" s="230">
        <f t="shared" si="135"/>
        <v>7.9738349719295276E-2</v>
      </c>
      <c r="AZ774" s="44"/>
      <c r="BA774" s="44" t="str">
        <f t="shared" ca="1" si="131"/>
        <v>VariantAllowances</v>
      </c>
      <c r="BB774" s="44" t="str">
        <f t="shared" si="132"/>
        <v>SO variant allowances</v>
      </c>
      <c r="BC774" s="44" t="str">
        <f t="shared" si="133"/>
        <v>Real Price Effects</v>
      </c>
      <c r="BD774" s="44" t="str">
        <f t="shared" si="134"/>
        <v>RPE allowances</v>
      </c>
    </row>
    <row r="775" spans="1:56">
      <c r="D775">
        <v>1</v>
      </c>
      <c r="E775" s="202" t="s">
        <v>137</v>
      </c>
      <c r="F775" s="225"/>
      <c r="G775" s="202" t="str">
        <f t="shared" si="130"/>
        <v>£m 23/24 prices</v>
      </c>
      <c r="H775" s="202" t="s">
        <v>279</v>
      </c>
      <c r="I775" s="202"/>
      <c r="J775" s="202"/>
      <c r="K775" s="202"/>
      <c r="L775" s="202"/>
      <c r="M775" s="202"/>
      <c r="N775" s="202"/>
      <c r="O775" s="202"/>
      <c r="P775" s="202"/>
      <c r="Q775" s="202"/>
      <c r="R775" s="202"/>
      <c r="S775" s="202"/>
      <c r="T775" s="202"/>
      <c r="U775" s="202"/>
      <c r="V775" s="202"/>
      <c r="W775" s="202"/>
      <c r="X775" s="202"/>
      <c r="Y775" s="202"/>
      <c r="Z775" s="202"/>
      <c r="AA775" s="202"/>
      <c r="AB775" s="202"/>
      <c r="AC775" s="202"/>
      <c r="AD775" s="202"/>
      <c r="AE775" s="202"/>
      <c r="AF775" s="202"/>
      <c r="AG775" s="202"/>
      <c r="AH775" s="202"/>
      <c r="AI775" s="202"/>
      <c r="AJ775" s="202"/>
      <c r="AK775" s="202"/>
      <c r="AL775" s="202"/>
      <c r="AM775" s="202"/>
      <c r="AN775" s="202"/>
      <c r="AO775" s="202"/>
      <c r="AP775" s="202"/>
      <c r="AQ775" s="202"/>
      <c r="AR775" s="202"/>
      <c r="AS775" s="202"/>
      <c r="AT775" s="203"/>
      <c r="AU775" s="232">
        <f t="shared" si="135"/>
        <v>8.5896982894241067E-2</v>
      </c>
      <c r="AV775" s="233">
        <f t="shared" si="135"/>
        <v>7.3987399734272485E-2</v>
      </c>
      <c r="AW775" s="233">
        <f t="shared" si="135"/>
        <v>7.5491413881053862E-2</v>
      </c>
      <c r="AX775" s="233">
        <f t="shared" si="135"/>
        <v>6.2490937267413844E-2</v>
      </c>
      <c r="AY775" s="233">
        <f t="shared" si="135"/>
        <v>5.3158899812863515E-2</v>
      </c>
      <c r="AZ775" s="44"/>
      <c r="BA775" s="44" t="str">
        <f t="shared" ca="1" si="131"/>
        <v>VariantAllowances</v>
      </c>
      <c r="BB775" s="44" t="str">
        <f t="shared" si="132"/>
        <v>SO variant allowances</v>
      </c>
      <c r="BC775" s="44" t="str">
        <f t="shared" si="133"/>
        <v>Real Price Effects</v>
      </c>
      <c r="BD775" s="44" t="str">
        <f t="shared" si="134"/>
        <v>RPE allowances</v>
      </c>
    </row>
    <row r="776" spans="1:56">
      <c r="D776">
        <v>2</v>
      </c>
      <c r="E776" s="196" t="s">
        <v>138</v>
      </c>
      <c r="F776" s="221"/>
      <c r="G776" s="196" t="str">
        <f t="shared" si="130"/>
        <v>£m 23/24 prices</v>
      </c>
      <c r="H776" s="196" t="s">
        <v>275</v>
      </c>
      <c r="I776" s="196"/>
      <c r="J776" s="196"/>
      <c r="K776" s="196"/>
      <c r="L776" s="196"/>
      <c r="M776" s="196"/>
      <c r="N776" s="196"/>
      <c r="O776" s="196"/>
      <c r="P776" s="196"/>
      <c r="Q776" s="196"/>
      <c r="R776" s="196"/>
      <c r="S776" s="196"/>
      <c r="T776" s="196"/>
      <c r="U776" s="196"/>
      <c r="V776" s="196"/>
      <c r="W776" s="196"/>
      <c r="X776" s="196"/>
      <c r="Y776" s="196"/>
      <c r="Z776" s="196"/>
      <c r="AA776" s="196"/>
      <c r="AB776" s="196"/>
      <c r="AC776" s="196"/>
      <c r="AD776" s="196"/>
      <c r="AE776" s="196"/>
      <c r="AF776" s="196"/>
      <c r="AG776" s="196"/>
      <c r="AH776" s="196"/>
      <c r="AI776" s="196"/>
      <c r="AJ776" s="196"/>
      <c r="AK776" s="196"/>
      <c r="AL776" s="196"/>
      <c r="AM776" s="196"/>
      <c r="AN776" s="196"/>
      <c r="AO776" s="196"/>
      <c r="AP776" s="196"/>
      <c r="AQ776" s="196"/>
      <c r="AR776" s="196"/>
      <c r="AS776" s="196"/>
      <c r="AT776" s="197"/>
      <c r="AU776" s="229">
        <f t="shared" si="135"/>
        <v>0</v>
      </c>
      <c r="AV776" s="230">
        <f t="shared" si="135"/>
        <v>0</v>
      </c>
      <c r="AW776" s="230">
        <f t="shared" si="135"/>
        <v>0</v>
      </c>
      <c r="AX776" s="230">
        <f t="shared" si="135"/>
        <v>0</v>
      </c>
      <c r="AY776" s="230">
        <f t="shared" si="135"/>
        <v>0</v>
      </c>
      <c r="AZ776" s="44"/>
      <c r="BA776" s="44" t="str">
        <f t="shared" ca="1" si="131"/>
        <v>VariantAllowances</v>
      </c>
      <c r="BB776" s="44" t="str">
        <f t="shared" si="132"/>
        <v>SO variant allowances</v>
      </c>
      <c r="BC776" s="44" t="str">
        <f t="shared" si="133"/>
        <v>Real Price Effects</v>
      </c>
      <c r="BD776" s="44" t="str">
        <f t="shared" si="134"/>
        <v>RPE allowances</v>
      </c>
    </row>
    <row r="777" spans="1:56">
      <c r="D777">
        <v>2</v>
      </c>
      <c r="E777" s="202" t="s">
        <v>138</v>
      </c>
      <c r="F777" s="225"/>
      <c r="G777" s="202" t="str">
        <f t="shared" si="130"/>
        <v>£m 23/24 prices</v>
      </c>
      <c r="H777" s="202" t="s">
        <v>279</v>
      </c>
      <c r="I777" s="202"/>
      <c r="J777" s="202"/>
      <c r="K777" s="202"/>
      <c r="L777" s="202"/>
      <c r="M777" s="202"/>
      <c r="N777" s="202"/>
      <c r="O777" s="202"/>
      <c r="P777" s="202"/>
      <c r="Q777" s="202"/>
      <c r="R777" s="202"/>
      <c r="S777" s="202"/>
      <c r="T777" s="202"/>
      <c r="U777" s="202"/>
      <c r="V777" s="202"/>
      <c r="W777" s="202"/>
      <c r="X777" s="202"/>
      <c r="Y777" s="202"/>
      <c r="Z777" s="202"/>
      <c r="AA777" s="202"/>
      <c r="AB777" s="202"/>
      <c r="AC777" s="202"/>
      <c r="AD777" s="202"/>
      <c r="AE777" s="202"/>
      <c r="AF777" s="202"/>
      <c r="AG777" s="202"/>
      <c r="AH777" s="202"/>
      <c r="AI777" s="202"/>
      <c r="AJ777" s="202"/>
      <c r="AK777" s="202"/>
      <c r="AL777" s="202"/>
      <c r="AM777" s="202"/>
      <c r="AN777" s="202"/>
      <c r="AO777" s="202"/>
      <c r="AP777" s="202"/>
      <c r="AQ777" s="202"/>
      <c r="AR777" s="202"/>
      <c r="AS777" s="202"/>
      <c r="AT777" s="203"/>
      <c r="AU777" s="232">
        <f t="shared" si="135"/>
        <v>0</v>
      </c>
      <c r="AV777" s="233">
        <f t="shared" si="135"/>
        <v>0</v>
      </c>
      <c r="AW777" s="233">
        <f t="shared" si="135"/>
        <v>0</v>
      </c>
      <c r="AX777" s="233">
        <f t="shared" si="135"/>
        <v>0</v>
      </c>
      <c r="AY777" s="233">
        <f t="shared" si="135"/>
        <v>0</v>
      </c>
      <c r="AZ777" s="44"/>
      <c r="BA777" s="44" t="str">
        <f t="shared" ca="1" si="131"/>
        <v>VariantAllowances</v>
      </c>
      <c r="BB777" s="44" t="str">
        <f t="shared" si="132"/>
        <v>SO variant allowances</v>
      </c>
      <c r="BC777" s="44" t="str">
        <f t="shared" si="133"/>
        <v>Real Price Effects</v>
      </c>
      <c r="BD777" s="44" t="str">
        <f t="shared" si="134"/>
        <v>RPE allowances</v>
      </c>
    </row>
    <row r="778" spans="1:56">
      <c r="AZ778" s="44"/>
    </row>
    <row r="779" spans="1:56" ht="17.5" thickBot="1">
      <c r="B779" s="11" t="s">
        <v>812</v>
      </c>
      <c r="AU779"/>
      <c r="AV779"/>
      <c r="AW779"/>
      <c r="AX779"/>
      <c r="AY779"/>
      <c r="AZ779" s="44"/>
    </row>
    <row r="780" spans="1:56" ht="16.5" thickTop="1">
      <c r="E780" s="43" t="s">
        <v>275</v>
      </c>
      <c r="G780" s="43" t="str">
        <f>price_label</f>
        <v>£m 23/24 prices</v>
      </c>
      <c r="AP780" s="66"/>
      <c r="AU780" s="96">
        <f>SUMIFS(AU$732:AU$763,$H$732:$H$763,$E780)+AU771+AU774+AU776</f>
        <v>11.774234554344527</v>
      </c>
      <c r="AV780" s="61">
        <f t="shared" ref="AV780:AY780" si="136">SUMIFS(AV$732:AV$763,$H$732:$H$763,$E780)+AV771+AV774+AV776</f>
        <v>18.158234262904447</v>
      </c>
      <c r="AW780" s="61">
        <f t="shared" si="136"/>
        <v>25.300702567516474</v>
      </c>
      <c r="AX780" s="61">
        <f t="shared" si="136"/>
        <v>10.11291088360813</v>
      </c>
      <c r="AY780" s="61">
        <f t="shared" si="136"/>
        <v>4.4699373888299601</v>
      </c>
      <c r="AZ780" s="44"/>
      <c r="BA780" s="44" t="str">
        <f ca="1">$A$1</f>
        <v>VariantAllowances</v>
      </c>
      <c r="BB780" s="44" t="str">
        <f t="shared" ref="BB780:BB781" si="137">$A$660</f>
        <v>SO variant allowances</v>
      </c>
      <c r="BC780" s="44" t="str">
        <f>$B$779</f>
        <v>Variant allowance summary (including RPEs)</v>
      </c>
    </row>
    <row r="781" spans="1:56">
      <c r="E781" s="43" t="s">
        <v>279</v>
      </c>
      <c r="G781" s="43" t="str">
        <f>price_label</f>
        <v>£m 23/24 prices</v>
      </c>
      <c r="AP781" s="66"/>
      <c r="AU781" s="96">
        <f t="shared" ref="AU781:AY781" si="138">SUMIFS(AU$732:AU$763,$H$732:$H$763,$E781)+AU772+AU775+AU777</f>
        <v>6.839904770176136</v>
      </c>
      <c r="AV781" s="61">
        <f t="shared" si="138"/>
        <v>6.1449974641415546</v>
      </c>
      <c r="AW781" s="61">
        <f t="shared" si="138"/>
        <v>6.4121813650404453</v>
      </c>
      <c r="AX781" s="61">
        <f t="shared" si="138"/>
        <v>7.0427755100121985</v>
      </c>
      <c r="AY781" s="61">
        <f t="shared" si="138"/>
        <v>5.6059897571487056</v>
      </c>
      <c r="AZ781" s="44"/>
      <c r="BA781" s="44" t="str">
        <f ca="1">$A$1</f>
        <v>VariantAllowances</v>
      </c>
      <c r="BB781" s="44" t="str">
        <f t="shared" si="137"/>
        <v>SO variant allowances</v>
      </c>
      <c r="BC781" s="44" t="str">
        <f>$B$779</f>
        <v>Variant allowance summary (including RPEs)</v>
      </c>
    </row>
    <row r="782" spans="1:56">
      <c r="A782"/>
      <c r="AU782"/>
      <c r="AV782"/>
      <c r="AW782"/>
      <c r="AX782"/>
      <c r="AY782"/>
      <c r="AZ782"/>
    </row>
    <row r="783" spans="1:56"/>
    <row r="784" spans="1:56" customFormat="1" ht="20" thickBot="1">
      <c r="A784" s="15" t="s">
        <v>241</v>
      </c>
      <c r="F784" s="151"/>
      <c r="AT784" s="77"/>
      <c r="BA784" s="1"/>
      <c r="BB784" s="1"/>
      <c r="BC784" s="1"/>
    </row>
    <row r="785" ht="16.5" thickTop="1"/>
    <row r="786"/>
  </sheetData>
  <dataConsolidate/>
  <conditionalFormatting sqref="H1">
    <cfRule type="cellIs" dxfId="18" priority="1" operator="equal">
      <formula>"ERROR"</formula>
    </cfRule>
  </conditionalFormatting>
  <pageMargins left="0.23622047244094491" right="0.23622047244094491" top="0.74803149606299213" bottom="0.74803149606299213" header="0.31496062992125984" footer="0.31496062992125984"/>
  <pageSetup paperSize="8" fitToHeight="0" orientation="portrait" r:id="rId1"/>
  <headerFooter>
    <oddFooter>&amp;LDraft at &amp;D_x000D_&amp;1#&amp;"Aptos"&amp;10&amp;K000000 National Gas | Business Use&amp;R"&amp;A" sheet&amp;R"&amp;A" sheet&amp;R"&amp;A" sheet&amp;R"&amp;A" sheet&amp;R"&amp;A" sheet&amp;R"&amp;A" sheet&amp;R"&amp;A" sheet&amp;R"&amp;A" sheet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EA451C-F706-4626-90B2-307FDD0C61B6}">
  <sheetPr codeName="Sheet9">
    <tabColor rgb="FF7FB5BA"/>
    <pageSetUpPr autoPageBreaks="0" fitToPage="1"/>
  </sheetPr>
  <dimension ref="A1:BL413"/>
  <sheetViews>
    <sheetView zoomScale="70" zoomScaleNormal="70" workbookViewId="0">
      <pane xSplit="10" ySplit="4" topLeftCell="K111" activePane="bottomRight" state="frozen"/>
      <selection pane="topRight" activeCell="K1" sqref="K1"/>
      <selection pane="bottomLeft" activeCell="A5" sqref="A5"/>
      <selection pane="bottomRight" activeCell="AU124" sqref="AU124"/>
    </sheetView>
  </sheetViews>
  <sheetFormatPr defaultColWidth="0" defaultRowHeight="16" zeroHeight="1" outlineLevelCol="1"/>
  <cols>
    <col min="1" max="2" width="1.81640625" style="8" customWidth="1"/>
    <col min="3" max="3" width="1.81640625" customWidth="1"/>
    <col min="4" max="4" width="15.7265625" customWidth="1"/>
    <col min="5" max="5" width="77.26953125" style="43" customWidth="1"/>
    <col min="6" max="6" width="8.7265625" style="150" customWidth="1"/>
    <col min="7" max="7" width="17.7265625" style="43" customWidth="1"/>
    <col min="8" max="8" width="9.7265625" style="43" customWidth="1"/>
    <col min="9" max="9" width="11.7265625" style="43" customWidth="1"/>
    <col min="10" max="10" width="2.08984375" style="43" customWidth="1"/>
    <col min="11" max="45" width="11.7265625" style="43" hidden="1" customWidth="1" outlineLevel="1"/>
    <col min="46" max="46" width="11.7265625" style="76" customWidth="1" collapsed="1"/>
    <col min="47" max="51" width="11.7265625" style="43" customWidth="1"/>
    <col min="52" max="52" width="11.7265625" style="44" customWidth="1"/>
    <col min="53" max="53" width="10.7265625" style="1" customWidth="1"/>
    <col min="54" max="56" width="10.7265625" style="44" customWidth="1"/>
    <col min="57" max="57" width="10.7265625" style="43" customWidth="1"/>
    <col min="58" max="58" width="1.7265625" style="8" customWidth="1"/>
    <col min="59" max="59" width="12.08984375" style="8" hidden="1" customWidth="1"/>
    <col min="60" max="60" width="16" style="8" hidden="1" customWidth="1"/>
    <col min="61" max="63" width="12.08984375" style="8" hidden="1" customWidth="1"/>
    <col min="64" max="64" width="1.81640625" style="8" hidden="1" customWidth="1"/>
    <col min="65" max="16384" width="0" style="8" hidden="1"/>
  </cols>
  <sheetData>
    <row r="1" spans="1:56" s="119" customFormat="1" ht="14.5">
      <c r="A1" s="118" t="str" cm="1">
        <f t="array" aca="1" ref="A1" ca="1">MID(CELL("filename",$A$1),FIND("]",CELL("filename",$A$1))+1,255)</f>
        <v>Transform_TO</v>
      </c>
      <c r="F1" s="153"/>
      <c r="G1" s="119" t="s">
        <v>515</v>
      </c>
      <c r="H1" s="38" t="str">
        <f ca="1">Checks!I7</f>
        <v>ERROR</v>
      </c>
      <c r="AT1" s="124"/>
      <c r="BA1" s="121"/>
      <c r="BB1" s="121"/>
      <c r="BC1" s="121"/>
      <c r="BD1" s="121"/>
    </row>
    <row r="2" spans="1:56" s="119" customFormat="1" ht="14.5">
      <c r="F2" s="153"/>
      <c r="AT2" s="124"/>
      <c r="BA2" s="121"/>
      <c r="BB2" s="121"/>
      <c r="BC2" s="121"/>
      <c r="BD2" s="121"/>
    </row>
    <row r="3" spans="1:56" s="119" customFormat="1" ht="14.5">
      <c r="E3" s="119" t="s">
        <v>0</v>
      </c>
      <c r="F3" s="153" t="s">
        <v>1</v>
      </c>
      <c r="G3" s="119" t="s">
        <v>2</v>
      </c>
      <c r="H3" s="119" t="s">
        <v>3</v>
      </c>
      <c r="I3" s="119" t="str">
        <f>NGT_TO!I3</f>
        <v>Constant</v>
      </c>
      <c r="AT3" s="124"/>
      <c r="AU3" s="122" t="str">
        <f>NGT_TO!AU3</f>
        <v>Annual values</v>
      </c>
      <c r="BA3" s="121"/>
      <c r="BB3" s="121"/>
      <c r="BC3" s="121"/>
      <c r="BD3" s="121"/>
    </row>
    <row r="4" spans="1:56" s="119" customFormat="1" ht="14.5">
      <c r="E4" s="119" t="s">
        <v>6</v>
      </c>
      <c r="F4" s="153"/>
      <c r="K4" s="122">
        <f>NGT_TO!K4</f>
        <v>33328</v>
      </c>
      <c r="L4" s="122">
        <f>NGT_TO!L4</f>
        <v>33694</v>
      </c>
      <c r="M4" s="122">
        <f>NGT_TO!M4</f>
        <v>34059</v>
      </c>
      <c r="N4" s="122">
        <f>NGT_TO!N4</f>
        <v>34424</v>
      </c>
      <c r="O4" s="122">
        <f>NGT_TO!O4</f>
        <v>34789</v>
      </c>
      <c r="P4" s="122">
        <f>NGT_TO!P4</f>
        <v>35155</v>
      </c>
      <c r="Q4" s="122">
        <f>NGT_TO!Q4</f>
        <v>35520</v>
      </c>
      <c r="R4" s="122">
        <f>NGT_TO!R4</f>
        <v>35885</v>
      </c>
      <c r="S4" s="122">
        <f>NGT_TO!S4</f>
        <v>36250</v>
      </c>
      <c r="T4" s="122">
        <f>NGT_TO!T4</f>
        <v>36616</v>
      </c>
      <c r="U4" s="122">
        <f>NGT_TO!U4</f>
        <v>36981</v>
      </c>
      <c r="V4" s="122">
        <f>NGT_TO!V4</f>
        <v>37346</v>
      </c>
      <c r="W4" s="122">
        <f>NGT_TO!W4</f>
        <v>37711</v>
      </c>
      <c r="X4" s="122">
        <f>NGT_TO!X4</f>
        <v>38077</v>
      </c>
      <c r="Y4" s="122">
        <f>NGT_TO!Y4</f>
        <v>38442</v>
      </c>
      <c r="Z4" s="122">
        <f>NGT_TO!Z4</f>
        <v>38807</v>
      </c>
      <c r="AA4" s="122">
        <f>NGT_TO!AA4</f>
        <v>39172</v>
      </c>
      <c r="AB4" s="122">
        <f>NGT_TO!AB4</f>
        <v>39538</v>
      </c>
      <c r="AC4" s="122">
        <f>NGT_TO!AC4</f>
        <v>39903</v>
      </c>
      <c r="AD4" s="122">
        <f>NGT_TO!AD4</f>
        <v>40268</v>
      </c>
      <c r="AE4" s="122">
        <f>NGT_TO!AE4</f>
        <v>40633</v>
      </c>
      <c r="AF4" s="122">
        <f>NGT_TO!AF4</f>
        <v>40999</v>
      </c>
      <c r="AG4" s="122">
        <f>NGT_TO!AG4</f>
        <v>41364</v>
      </c>
      <c r="AH4" s="122">
        <f>NGT_TO!AH4</f>
        <v>41729</v>
      </c>
      <c r="AI4" s="122">
        <f>NGT_TO!AI4</f>
        <v>42094</v>
      </c>
      <c r="AJ4" s="122">
        <f>NGT_TO!AJ4</f>
        <v>42460</v>
      </c>
      <c r="AK4" s="122">
        <f>NGT_TO!AK4</f>
        <v>42825</v>
      </c>
      <c r="AL4" s="122">
        <f>NGT_TO!AL4</f>
        <v>43190</v>
      </c>
      <c r="AM4" s="122">
        <f>NGT_TO!AM4</f>
        <v>43555</v>
      </c>
      <c r="AN4" s="122">
        <f>NGT_TO!AN4</f>
        <v>43921</v>
      </c>
      <c r="AO4" s="122">
        <f>NGT_TO!AO4</f>
        <v>44286</v>
      </c>
      <c r="AP4" s="122">
        <f>NGT_TO!AP4</f>
        <v>44651</v>
      </c>
      <c r="AQ4" s="122">
        <f>NGT_TO!AQ4</f>
        <v>45016</v>
      </c>
      <c r="AR4" s="122">
        <f>NGT_TO!AR4</f>
        <v>45382</v>
      </c>
      <c r="AS4" s="122">
        <f>NGT_TO!AS4</f>
        <v>45747</v>
      </c>
      <c r="AT4" s="123">
        <f>NGT_TO!AT4</f>
        <v>46112</v>
      </c>
      <c r="AU4" s="122">
        <f>NGT_TO!AU4</f>
        <v>46477</v>
      </c>
      <c r="AV4" s="122">
        <f>NGT_TO!AV4</f>
        <v>46843</v>
      </c>
      <c r="AW4" s="122">
        <f>NGT_TO!AW4</f>
        <v>47208</v>
      </c>
      <c r="AX4" s="122">
        <f>NGT_TO!AX4</f>
        <v>47573</v>
      </c>
      <c r="AY4" s="122">
        <f>NGT_TO!AY4</f>
        <v>47938</v>
      </c>
      <c r="BA4" s="127" t="s">
        <v>527</v>
      </c>
      <c r="BB4" s="127" t="s">
        <v>528</v>
      </c>
      <c r="BC4" s="127" t="s">
        <v>529</v>
      </c>
      <c r="BD4" s="127" t="s">
        <v>530</v>
      </c>
    </row>
    <row r="5" spans="1:56"/>
    <row r="6" spans="1:56" ht="20" thickBot="1">
      <c r="A6" s="10" t="s">
        <v>104</v>
      </c>
    </row>
    <row r="7" spans="1:56" ht="16.5" thickTop="1">
      <c r="A7"/>
      <c r="E7" s="43" t="s">
        <v>302</v>
      </c>
      <c r="G7" s="43" t="s">
        <v>783</v>
      </c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 s="77"/>
      <c r="AU7" s="172" t="b">
        <f>SUM(NGT_TO!AU9:AU14,NGT_TO!AU17:AU22)&lt;&gt;0</f>
        <v>1</v>
      </c>
      <c r="AV7" s="52" t="b">
        <f>SUM(NGT_TO!AV9:AV14,NGT_TO!AV17:AV22)&lt;&gt;0</f>
        <v>1</v>
      </c>
      <c r="AW7" s="52" t="b">
        <f>SUM(NGT_TO!AW9:AW14,NGT_TO!AW17:AW22)&lt;&gt;0</f>
        <v>1</v>
      </c>
      <c r="AX7" s="52" t="b">
        <f>SUM(NGT_TO!AX9:AX14,NGT_TO!AX17:AX22)&lt;&gt;0</f>
        <v>1</v>
      </c>
      <c r="AY7" s="52" t="b">
        <f>SUM(NGT_TO!AY9:AY14,NGT_TO!AY17:AY22)&lt;&gt;0</f>
        <v>1</v>
      </c>
      <c r="AZ7"/>
      <c r="BA7" s="44" t="str">
        <f ca="1">$A$1</f>
        <v>Transform_TO</v>
      </c>
      <c r="BB7" s="44" t="str">
        <f>Transform_TO!$A$6</f>
        <v>Flags</v>
      </c>
    </row>
    <row r="8" spans="1:56">
      <c r="A8"/>
      <c r="E8" s="43" t="s">
        <v>556</v>
      </c>
      <c r="G8" s="43" t="s">
        <v>783</v>
      </c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 s="77"/>
      <c r="AU8" s="173" t="b">
        <f>NOT(AU7)</f>
        <v>0</v>
      </c>
      <c r="AV8" s="51" t="b">
        <f t="shared" ref="AV8:AY8" si="0">NOT(AV7)</f>
        <v>0</v>
      </c>
      <c r="AW8" s="51" t="b">
        <f t="shared" si="0"/>
        <v>0</v>
      </c>
      <c r="AX8" s="51" t="b">
        <f t="shared" si="0"/>
        <v>0</v>
      </c>
      <c r="AY8" s="51" t="b">
        <f t="shared" si="0"/>
        <v>0</v>
      </c>
      <c r="AZ8"/>
      <c r="BA8" s="44" t="str">
        <f ca="1">$A$1</f>
        <v>Transform_TO</v>
      </c>
      <c r="BB8" s="44" t="str">
        <f>Transform_TO!$A$6</f>
        <v>Flags</v>
      </c>
    </row>
    <row r="9" spans="1:56">
      <c r="A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 s="77"/>
      <c r="AU9" s="178"/>
      <c r="AV9"/>
      <c r="AW9"/>
      <c r="AX9"/>
      <c r="AY9"/>
      <c r="AZ9"/>
      <c r="BA9" s="44"/>
    </row>
    <row r="10" spans="1:56" ht="20" thickBot="1">
      <c r="A10" s="10" t="s">
        <v>8</v>
      </c>
      <c r="AZ10"/>
      <c r="BA10" s="44"/>
    </row>
    <row r="11" spans="1:56" ht="18" thickTop="1" thickBot="1">
      <c r="A11"/>
      <c r="B11" s="11" t="s">
        <v>9</v>
      </c>
      <c r="AZ11"/>
      <c r="BA11" s="44"/>
    </row>
    <row r="12" spans="1:56" ht="17" thickTop="1">
      <c r="E12" s="43" t="s">
        <v>982</v>
      </c>
      <c r="G12" s="43" t="str">
        <f t="shared" ref="G12:G17" si="1">price_label</f>
        <v>£m 23/24 prices</v>
      </c>
      <c r="H12" s="48" t="s">
        <v>988</v>
      </c>
      <c r="AU12" s="174">
        <f>NGT_TO!AU9</f>
        <v>6.083254347769862</v>
      </c>
      <c r="AV12" s="50">
        <f>NGT_TO!AV9</f>
        <v>8.0254791671583572</v>
      </c>
      <c r="AW12" s="50">
        <f>NGT_TO!AW9</f>
        <v>6.7819269838536229</v>
      </c>
      <c r="AX12" s="50">
        <f>NGT_TO!AX9</f>
        <v>9.3493801699930099</v>
      </c>
      <c r="AY12" s="50">
        <f>NGT_TO!AY9</f>
        <v>9.295886368293079</v>
      </c>
      <c r="AZ12"/>
      <c r="BA12" s="44" t="str">
        <f t="shared" ref="BA12:BA17" ca="1" si="2">$A$1</f>
        <v>Transform_TO</v>
      </c>
      <c r="BB12" s="44" t="str">
        <f t="shared" ref="BB12:BB17" si="3">$A$10</f>
        <v>Actual totex</v>
      </c>
      <c r="BC12" s="44" t="str">
        <f t="shared" ref="BC12:BC17" si="4">$B$11</f>
        <v>Capitalisation rate 1</v>
      </c>
    </row>
    <row r="13" spans="1:56" ht="16.5">
      <c r="E13" s="43" t="s">
        <v>983</v>
      </c>
      <c r="G13" s="43" t="str">
        <f t="shared" si="1"/>
        <v>£m 23/24 prices</v>
      </c>
      <c r="H13" s="48" t="s">
        <v>989</v>
      </c>
      <c r="AU13" s="174">
        <f>NGT_TO!AU10</f>
        <v>172.29588285899504</v>
      </c>
      <c r="AV13" s="50">
        <f>NGT_TO!AV10</f>
        <v>164.5799390109743</v>
      </c>
      <c r="AW13" s="50">
        <f>NGT_TO!AW10</f>
        <v>220.58340546594692</v>
      </c>
      <c r="AX13" s="50">
        <f>NGT_TO!AX10</f>
        <v>205.11278702970912</v>
      </c>
      <c r="AY13" s="50">
        <f>NGT_TO!AY10</f>
        <v>252.22369404902341</v>
      </c>
      <c r="AZ13"/>
      <c r="BA13" s="44" t="str">
        <f t="shared" ca="1" si="2"/>
        <v>Transform_TO</v>
      </c>
      <c r="BB13" s="44" t="str">
        <f t="shared" si="3"/>
        <v>Actual totex</v>
      </c>
      <c r="BC13" s="44" t="str">
        <f t="shared" si="4"/>
        <v>Capitalisation rate 1</v>
      </c>
    </row>
    <row r="14" spans="1:56" ht="16.5">
      <c r="E14" s="43" t="s">
        <v>984</v>
      </c>
      <c r="G14" s="43" t="str">
        <f t="shared" si="1"/>
        <v>£m 23/24 prices</v>
      </c>
      <c r="H14" s="48" t="s">
        <v>990</v>
      </c>
      <c r="AU14" s="174">
        <f>NGT_TO!AU11</f>
        <v>68.265749816546759</v>
      </c>
      <c r="AV14" s="50">
        <f>NGT_TO!AV11</f>
        <v>74.609207266144622</v>
      </c>
      <c r="AW14" s="50">
        <f>NGT_TO!AW11</f>
        <v>66.609324763270081</v>
      </c>
      <c r="AX14" s="50">
        <f>NGT_TO!AX11</f>
        <v>56.859805367227835</v>
      </c>
      <c r="AY14" s="50">
        <f>NGT_TO!AY11</f>
        <v>51.682832774284691</v>
      </c>
      <c r="AZ14"/>
      <c r="BA14" s="44" t="str">
        <f t="shared" ca="1" si="2"/>
        <v>Transform_TO</v>
      </c>
      <c r="BB14" s="44" t="str">
        <f t="shared" si="3"/>
        <v>Actual totex</v>
      </c>
      <c r="BC14" s="44" t="str">
        <f t="shared" si="4"/>
        <v>Capitalisation rate 1</v>
      </c>
    </row>
    <row r="15" spans="1:56" ht="16.5">
      <c r="E15" s="43" t="s">
        <v>985</v>
      </c>
      <c r="G15" s="43" t="str">
        <f t="shared" si="1"/>
        <v>£m 23/24 prices</v>
      </c>
      <c r="H15" s="48" t="s">
        <v>991</v>
      </c>
      <c r="AU15" s="174">
        <f>NGT_TO!AU12</f>
        <v>71.573252627557736</v>
      </c>
      <c r="AV15" s="50">
        <f>NGT_TO!AV12</f>
        <v>69.953466893277351</v>
      </c>
      <c r="AW15" s="50">
        <f>NGT_TO!AW12</f>
        <v>45.035692186239004</v>
      </c>
      <c r="AX15" s="50">
        <f>NGT_TO!AX12</f>
        <v>33.716872944441441</v>
      </c>
      <c r="AY15" s="50">
        <f>NGT_TO!AY12</f>
        <v>35.08490894999445</v>
      </c>
      <c r="AZ15"/>
      <c r="BA15" s="44" t="str">
        <f t="shared" ca="1" si="2"/>
        <v>Transform_TO</v>
      </c>
      <c r="BB15" s="44" t="str">
        <f t="shared" si="3"/>
        <v>Actual totex</v>
      </c>
      <c r="BC15" s="44" t="str">
        <f t="shared" si="4"/>
        <v>Capitalisation rate 1</v>
      </c>
    </row>
    <row r="16" spans="1:56" ht="16.5">
      <c r="E16" s="43" t="s">
        <v>986</v>
      </c>
      <c r="G16" s="43" t="str">
        <f t="shared" si="1"/>
        <v>£m 23/24 prices</v>
      </c>
      <c r="H16" s="48" t="s">
        <v>992</v>
      </c>
      <c r="AU16" s="174">
        <f>NGT_TO!AU13</f>
        <v>60.339907194756591</v>
      </c>
      <c r="AV16" s="50">
        <f>NGT_TO!AV13</f>
        <v>61.137649679373752</v>
      </c>
      <c r="AW16" s="50">
        <f>NGT_TO!AW13</f>
        <v>62.10549627488848</v>
      </c>
      <c r="AX16" s="50">
        <f>NGT_TO!AX13</f>
        <v>63.338082086671037</v>
      </c>
      <c r="AY16" s="50">
        <f>NGT_TO!AY13</f>
        <v>64.373997120249683</v>
      </c>
      <c r="AZ16"/>
      <c r="BA16" s="44" t="str">
        <f t="shared" ca="1" si="2"/>
        <v>Transform_TO</v>
      </c>
      <c r="BB16" s="44" t="str">
        <f t="shared" si="3"/>
        <v>Actual totex</v>
      </c>
      <c r="BC16" s="44" t="str">
        <f t="shared" si="4"/>
        <v>Capitalisation rate 1</v>
      </c>
    </row>
    <row r="17" spans="1:56" ht="16.5">
      <c r="E17" s="43" t="s">
        <v>987</v>
      </c>
      <c r="G17" s="43" t="str">
        <f t="shared" si="1"/>
        <v>£m 23/24 prices</v>
      </c>
      <c r="H17" s="48" t="s">
        <v>993</v>
      </c>
      <c r="AU17" s="174">
        <f>NGT_TO!AU14</f>
        <v>152.06127240811392</v>
      </c>
      <c r="AV17" s="50">
        <f>NGT_TO!AV14</f>
        <v>156.04061876018005</v>
      </c>
      <c r="AW17" s="50">
        <f>NGT_TO!AW14</f>
        <v>156.63421359875252</v>
      </c>
      <c r="AX17" s="50">
        <f>NGT_TO!AX14</f>
        <v>146.57553265002804</v>
      </c>
      <c r="AY17" s="50">
        <f>NGT_TO!AY14</f>
        <v>142.55772155829581</v>
      </c>
      <c r="AZ17"/>
      <c r="BA17" s="44" t="str">
        <f t="shared" ca="1" si="2"/>
        <v>Transform_TO</v>
      </c>
      <c r="BB17" s="44" t="str">
        <f t="shared" si="3"/>
        <v>Actual totex</v>
      </c>
      <c r="BC17" s="44" t="str">
        <f t="shared" si="4"/>
        <v>Capitalisation rate 1</v>
      </c>
    </row>
    <row r="18" spans="1:56">
      <c r="H18" s="150"/>
      <c r="AZ18"/>
      <c r="BA18" s="44"/>
    </row>
    <row r="19" spans="1:56" ht="17.5" thickBot="1">
      <c r="B19" s="11" t="s">
        <v>11</v>
      </c>
      <c r="H19" s="150"/>
      <c r="AZ19"/>
      <c r="BA19" s="44"/>
    </row>
    <row r="20" spans="1:56" ht="17" thickTop="1">
      <c r="A20"/>
      <c r="E20" s="43" t="s">
        <v>982</v>
      </c>
      <c r="G20" s="43" t="str">
        <f t="shared" ref="G20:G25" si="5">price_label</f>
        <v>£m 23/24 prices</v>
      </c>
      <c r="H20" s="48" t="s">
        <v>994</v>
      </c>
      <c r="AU20" s="174">
        <f>NGT_TO!AU17</f>
        <v>0</v>
      </c>
      <c r="AV20" s="50">
        <f>NGT_TO!AV17</f>
        <v>0</v>
      </c>
      <c r="AW20" s="50">
        <f>NGT_TO!AW17</f>
        <v>4.1438633008999997</v>
      </c>
      <c r="AX20" s="50">
        <f>NGT_TO!AX17</f>
        <v>5.5312558833999992</v>
      </c>
      <c r="AY20" s="50">
        <f>NGT_TO!AY17</f>
        <v>8.7157826651000008</v>
      </c>
      <c r="AZ20"/>
      <c r="BA20" s="44" t="str">
        <f t="shared" ref="BA20:BA25" ca="1" si="6">$A$1</f>
        <v>Transform_TO</v>
      </c>
      <c r="BB20" s="44" t="str">
        <f t="shared" ref="BB20:BB25" si="7">$A$10</f>
        <v>Actual totex</v>
      </c>
      <c r="BC20" s="44" t="str">
        <f t="shared" ref="BC20:BC25" si="8">$B$19</f>
        <v>Capitalisation rate 2</v>
      </c>
    </row>
    <row r="21" spans="1:56" ht="16.5">
      <c r="A21"/>
      <c r="E21" s="43" t="s">
        <v>983</v>
      </c>
      <c r="G21" s="43" t="str">
        <f t="shared" si="5"/>
        <v>£m 23/24 prices</v>
      </c>
      <c r="H21" s="48" t="s">
        <v>995</v>
      </c>
      <c r="AU21" s="174">
        <f>NGT_TO!AU18</f>
        <v>268.41056601925101</v>
      </c>
      <c r="AV21" s="50">
        <f>NGT_TO!AV18</f>
        <v>485.52581923988947</v>
      </c>
      <c r="AW21" s="50">
        <f>NGT_TO!AW18</f>
        <v>469.30809664339171</v>
      </c>
      <c r="AX21" s="50">
        <f>NGT_TO!AX18</f>
        <v>262.41109171892725</v>
      </c>
      <c r="AY21" s="50">
        <f>NGT_TO!AY18</f>
        <v>188.88912319488645</v>
      </c>
      <c r="AZ21"/>
      <c r="BA21" s="44" t="str">
        <f t="shared" ca="1" si="6"/>
        <v>Transform_TO</v>
      </c>
      <c r="BB21" s="44" t="str">
        <f t="shared" si="7"/>
        <v>Actual totex</v>
      </c>
      <c r="BC21" s="44" t="str">
        <f t="shared" si="8"/>
        <v>Capitalisation rate 2</v>
      </c>
    </row>
    <row r="22" spans="1:56" ht="16.5">
      <c r="A22"/>
      <c r="E22" s="43" t="s">
        <v>984</v>
      </c>
      <c r="G22" s="43" t="str">
        <f t="shared" si="5"/>
        <v>£m 23/24 prices</v>
      </c>
      <c r="H22" s="48" t="s">
        <v>996</v>
      </c>
      <c r="AU22" s="174">
        <f>NGT_TO!AU19</f>
        <v>57.471227195496752</v>
      </c>
      <c r="AV22" s="50">
        <f>NGT_TO!AV19</f>
        <v>31.945362644606096</v>
      </c>
      <c r="AW22" s="50">
        <f>NGT_TO!AW19</f>
        <v>50.682355952122684</v>
      </c>
      <c r="AX22" s="50">
        <f>NGT_TO!AX19</f>
        <v>20.390050887908291</v>
      </c>
      <c r="AY22" s="50">
        <f>NGT_TO!AY19</f>
        <v>0</v>
      </c>
      <c r="AZ22"/>
      <c r="BA22" s="44" t="str">
        <f t="shared" ca="1" si="6"/>
        <v>Transform_TO</v>
      </c>
      <c r="BB22" s="44" t="str">
        <f t="shared" si="7"/>
        <v>Actual totex</v>
      </c>
      <c r="BC22" s="44" t="str">
        <f t="shared" si="8"/>
        <v>Capitalisation rate 2</v>
      </c>
    </row>
    <row r="23" spans="1:56" ht="16.5">
      <c r="A23"/>
      <c r="E23" s="43" t="s">
        <v>985</v>
      </c>
      <c r="G23" s="43" t="str">
        <f t="shared" si="5"/>
        <v>£m 23/24 prices</v>
      </c>
      <c r="H23" s="48" t="s">
        <v>997</v>
      </c>
      <c r="AU23" s="174">
        <f>NGT_TO!AU20</f>
        <v>3.9774560287488208</v>
      </c>
      <c r="AV23" s="50">
        <f>NGT_TO!AV20</f>
        <v>15.031516864081985</v>
      </c>
      <c r="AW23" s="50">
        <f>NGT_TO!AW20</f>
        <v>26.03780420456145</v>
      </c>
      <c r="AX23" s="50">
        <f>NGT_TO!AX20</f>
        <v>6.6426575517922135</v>
      </c>
      <c r="AY23" s="50">
        <f>NGT_TO!AY20</f>
        <v>0.41059197630307315</v>
      </c>
      <c r="AZ23"/>
      <c r="BA23" s="44" t="str">
        <f t="shared" ca="1" si="6"/>
        <v>Transform_TO</v>
      </c>
      <c r="BB23" s="44" t="str">
        <f t="shared" si="7"/>
        <v>Actual totex</v>
      </c>
      <c r="BC23" s="44" t="str">
        <f t="shared" si="8"/>
        <v>Capitalisation rate 2</v>
      </c>
    </row>
    <row r="24" spans="1:56" ht="16.5">
      <c r="A24"/>
      <c r="E24" s="43" t="s">
        <v>986</v>
      </c>
      <c r="G24" s="43" t="str">
        <f t="shared" si="5"/>
        <v>£m 23/24 prices</v>
      </c>
      <c r="H24" s="48" t="s">
        <v>998</v>
      </c>
      <c r="AU24" s="174">
        <f>NGT_TO!AU21</f>
        <v>3.1556000000000002</v>
      </c>
      <c r="AV24" s="50">
        <f>NGT_TO!AV21</f>
        <v>1.7542</v>
      </c>
      <c r="AW24" s="50">
        <f>NGT_TO!AW21</f>
        <v>1.7542</v>
      </c>
      <c r="AX24" s="50">
        <f>NGT_TO!AX21</f>
        <v>0</v>
      </c>
      <c r="AY24" s="50">
        <f>NGT_TO!AY21</f>
        <v>0</v>
      </c>
      <c r="AZ24"/>
      <c r="BA24" s="44" t="str">
        <f t="shared" ca="1" si="6"/>
        <v>Transform_TO</v>
      </c>
      <c r="BB24" s="44" t="str">
        <f t="shared" si="7"/>
        <v>Actual totex</v>
      </c>
      <c r="BC24" s="44" t="str">
        <f t="shared" si="8"/>
        <v>Capitalisation rate 2</v>
      </c>
    </row>
    <row r="25" spans="1:56" ht="16.5">
      <c r="A25"/>
      <c r="E25" s="43" t="s">
        <v>987</v>
      </c>
      <c r="G25" s="43" t="str">
        <f t="shared" si="5"/>
        <v>£m 23/24 prices</v>
      </c>
      <c r="H25" s="48" t="s">
        <v>999</v>
      </c>
      <c r="AU25" s="174">
        <f>NGT_TO!AU22</f>
        <v>0</v>
      </c>
      <c r="AV25" s="50">
        <f>NGT_TO!AV22</f>
        <v>0</v>
      </c>
      <c r="AW25" s="50">
        <f>NGT_TO!AW22</f>
        <v>0.32661128015910845</v>
      </c>
      <c r="AX25" s="50">
        <f>NGT_TO!AX22</f>
        <v>3.4747581661517151</v>
      </c>
      <c r="AY25" s="50">
        <f>NGT_TO!AY22</f>
        <v>2.4230976443476799</v>
      </c>
      <c r="AZ25"/>
      <c r="BA25" s="44" t="str">
        <f t="shared" ca="1" si="6"/>
        <v>Transform_TO</v>
      </c>
      <c r="BB25" s="44" t="str">
        <f t="shared" si="7"/>
        <v>Actual totex</v>
      </c>
      <c r="BC25" s="44" t="str">
        <f t="shared" si="8"/>
        <v>Capitalisation rate 2</v>
      </c>
    </row>
    <row r="26" spans="1:56">
      <c r="H26" s="150"/>
      <c r="AZ26"/>
      <c r="BA26" s="44"/>
    </row>
    <row r="27" spans="1:56" ht="17.5" thickBot="1">
      <c r="B27" s="11" t="s">
        <v>624</v>
      </c>
      <c r="H27" s="150"/>
      <c r="AZ27"/>
      <c r="BA27" s="44"/>
    </row>
    <row r="28" spans="1:56" customFormat="1" ht="15" thickTop="1">
      <c r="E28" s="43" t="s">
        <v>625</v>
      </c>
      <c r="F28" s="151"/>
      <c r="G28" s="43" t="str">
        <f>price_label</f>
        <v>£m 23/24 prices</v>
      </c>
      <c r="H28" s="151"/>
      <c r="J28" s="43"/>
      <c r="AT28" s="77"/>
      <c r="AU28" s="97">
        <f>NGT_TO!AU25</f>
        <v>0</v>
      </c>
      <c r="AV28" s="38">
        <f>NGT_TO!AV25</f>
        <v>0</v>
      </c>
      <c r="AW28" s="38">
        <f>NGT_TO!AW25</f>
        <v>0</v>
      </c>
      <c r="AX28" s="38">
        <f>NGT_TO!AX25</f>
        <v>0</v>
      </c>
      <c r="AY28" s="38">
        <f>NGT_TO!AY25</f>
        <v>0</v>
      </c>
      <c r="BA28" s="44" t="str">
        <f ca="1">$A$1</f>
        <v>Transform_TO</v>
      </c>
      <c r="BB28" s="44" t="str">
        <f>$A$45</f>
        <v>RAV and assets</v>
      </c>
      <c r="BC28" s="44" t="str">
        <f>$B$51</f>
        <v>Post-vesting assets</v>
      </c>
      <c r="BD28" s="1"/>
    </row>
    <row r="29" spans="1:56" customFormat="1" ht="14.5">
      <c r="E29" s="43"/>
      <c r="F29" s="151"/>
      <c r="H29" s="151"/>
      <c r="AT29" s="77"/>
      <c r="BA29" s="44"/>
      <c r="BB29" s="1"/>
      <c r="BC29" s="1"/>
      <c r="BD29" s="1"/>
    </row>
    <row r="30" spans="1:56" ht="20" thickBot="1">
      <c r="A30" s="10" t="s">
        <v>65</v>
      </c>
      <c r="H30" s="150"/>
      <c r="AZ30"/>
      <c r="BA30" s="44"/>
    </row>
    <row r="31" spans="1:56" ht="18" thickTop="1" thickBot="1">
      <c r="B31" s="11" t="s">
        <v>66</v>
      </c>
      <c r="H31" s="150"/>
      <c r="AZ31"/>
      <c r="BA31" s="44"/>
    </row>
    <row r="32" spans="1:56" ht="16.5" thickTop="1">
      <c r="E32" s="43" t="s">
        <v>334</v>
      </c>
      <c r="G32" s="43" t="str">
        <f t="shared" ref="G32:G37" si="9">price_label</f>
        <v>£m 23/24 prices</v>
      </c>
      <c r="H32" s="150"/>
      <c r="AU32" s="174">
        <f>NGT_TO!AU434</f>
        <v>0</v>
      </c>
      <c r="AV32" s="50">
        <f>NGT_TO!AV434</f>
        <v>0</v>
      </c>
      <c r="AW32" s="50">
        <f>NGT_TO!AW434</f>
        <v>0</v>
      </c>
      <c r="AX32" s="50">
        <f>NGT_TO!AX434</f>
        <v>0</v>
      </c>
      <c r="AY32" s="50">
        <f>NGT_TO!AY434</f>
        <v>0</v>
      </c>
      <c r="AZ32"/>
      <c r="BA32" s="44" t="str">
        <f t="shared" ref="BA32:BA37" ca="1" si="10">$A$1</f>
        <v>Transform_TO</v>
      </c>
      <c r="BB32" s="44" t="str">
        <f t="shared" ref="BB32:BB37" si="11">$A$30</f>
        <v>Totex allowance</v>
      </c>
      <c r="BC32" s="44" t="str">
        <f t="shared" ref="BC32:BC37" si="12">$B$31</f>
        <v>Non-variant allowances</v>
      </c>
    </row>
    <row r="33" spans="1:55">
      <c r="E33" s="43" t="s">
        <v>335</v>
      </c>
      <c r="G33" s="43" t="str">
        <f t="shared" si="9"/>
        <v>£m 23/24 prices</v>
      </c>
      <c r="H33" s="150"/>
      <c r="AU33" s="174">
        <f>NGT_TO!AU435</f>
        <v>46.742049016897198</v>
      </c>
      <c r="AV33" s="50">
        <f>NGT_TO!AV435</f>
        <v>28.676960374728854</v>
      </c>
      <c r="AW33" s="50">
        <f>NGT_TO!AW435</f>
        <v>34.680301116982655</v>
      </c>
      <c r="AX33" s="50">
        <f>NGT_TO!AX435</f>
        <v>27.356934806026523</v>
      </c>
      <c r="AY33" s="50">
        <f>NGT_TO!AY435</f>
        <v>39.306574257187094</v>
      </c>
      <c r="AZ33"/>
      <c r="BA33" s="44" t="str">
        <f t="shared" ca="1" si="10"/>
        <v>Transform_TO</v>
      </c>
      <c r="BB33" s="44" t="str">
        <f t="shared" si="11"/>
        <v>Totex allowance</v>
      </c>
      <c r="BC33" s="44" t="str">
        <f t="shared" si="12"/>
        <v>Non-variant allowances</v>
      </c>
    </row>
    <row r="34" spans="1:55">
      <c r="E34" s="43" t="s">
        <v>336</v>
      </c>
      <c r="G34" s="43" t="str">
        <f t="shared" si="9"/>
        <v>£m 23/24 prices</v>
      </c>
      <c r="H34" s="150"/>
      <c r="AU34" s="174">
        <f>NGT_TO!AU436</f>
        <v>0</v>
      </c>
      <c r="AV34" s="50">
        <f>NGT_TO!AV436</f>
        <v>0</v>
      </c>
      <c r="AW34" s="50">
        <f>NGT_TO!AW436</f>
        <v>0</v>
      </c>
      <c r="AX34" s="50">
        <f>NGT_TO!AX436</f>
        <v>0</v>
      </c>
      <c r="AY34" s="50">
        <f>NGT_TO!AY436</f>
        <v>0</v>
      </c>
      <c r="AZ34"/>
      <c r="BA34" s="44" t="str">
        <f t="shared" ca="1" si="10"/>
        <v>Transform_TO</v>
      </c>
      <c r="BB34" s="44" t="str">
        <f t="shared" si="11"/>
        <v>Totex allowance</v>
      </c>
      <c r="BC34" s="44" t="str">
        <f t="shared" si="12"/>
        <v>Non-variant allowances</v>
      </c>
    </row>
    <row r="35" spans="1:55">
      <c r="E35" s="43" t="s">
        <v>264</v>
      </c>
      <c r="G35" s="43" t="str">
        <f t="shared" si="9"/>
        <v>£m 23/24 prices</v>
      </c>
      <c r="H35" s="150"/>
      <c r="AU35" s="174">
        <f>NGT_TO!AU437</f>
        <v>72.02038467401124</v>
      </c>
      <c r="AV35" s="50">
        <f>NGT_TO!AV437</f>
        <v>69.610838432389031</v>
      </c>
      <c r="AW35" s="50">
        <f>NGT_TO!AW437</f>
        <v>44.226892032388918</v>
      </c>
      <c r="AX35" s="50">
        <f>NGT_TO!AX437</f>
        <v>32.66063179162952</v>
      </c>
      <c r="AY35" s="50">
        <f>NGT_TO!AY437</f>
        <v>33.476961810953547</v>
      </c>
      <c r="AZ35"/>
      <c r="BA35" s="44" t="str">
        <f t="shared" ca="1" si="10"/>
        <v>Transform_TO</v>
      </c>
      <c r="BB35" s="44" t="str">
        <f t="shared" si="11"/>
        <v>Totex allowance</v>
      </c>
      <c r="BC35" s="44" t="str">
        <f t="shared" si="12"/>
        <v>Non-variant allowances</v>
      </c>
    </row>
    <row r="36" spans="1:55">
      <c r="E36" s="43" t="s">
        <v>337</v>
      </c>
      <c r="G36" s="43" t="str">
        <f t="shared" si="9"/>
        <v>£m 23/24 prices</v>
      </c>
      <c r="H36" s="150"/>
      <c r="AU36" s="174">
        <f>NGT_TO!AU438</f>
        <v>60.716862344848764</v>
      </c>
      <c r="AV36" s="50">
        <f>NGT_TO!AV438</f>
        <v>60.838200634997847</v>
      </c>
      <c r="AW36" s="50">
        <f>NGT_TO!AW438</f>
        <v>60.990137933456928</v>
      </c>
      <c r="AX36" s="50">
        <f>NGT_TO!AX438</f>
        <v>61.353903751083408</v>
      </c>
      <c r="AY36" s="50">
        <f>NGT_TO!AY438</f>
        <v>61.423726260329175</v>
      </c>
      <c r="AZ36"/>
      <c r="BA36" s="44" t="str">
        <f t="shared" ca="1" si="10"/>
        <v>Transform_TO</v>
      </c>
      <c r="BB36" s="44" t="str">
        <f t="shared" si="11"/>
        <v>Totex allowance</v>
      </c>
      <c r="BC36" s="44" t="str">
        <f t="shared" si="12"/>
        <v>Non-variant allowances</v>
      </c>
    </row>
    <row r="37" spans="1:55">
      <c r="E37" s="43" t="s">
        <v>338</v>
      </c>
      <c r="G37" s="43" t="str">
        <f t="shared" si="9"/>
        <v>£m 23/24 prices</v>
      </c>
      <c r="H37" s="150"/>
      <c r="AU37" s="174">
        <f>NGT_TO!AU439</f>
        <v>125.90332576919576</v>
      </c>
      <c r="AV37" s="50">
        <f>NGT_TO!AV439</f>
        <v>126.80168199708554</v>
      </c>
      <c r="AW37" s="50">
        <f>NGT_TO!AW439</f>
        <v>126.04722697607373</v>
      </c>
      <c r="AX37" s="50">
        <f>NGT_TO!AX439</f>
        <v>121.21027695637338</v>
      </c>
      <c r="AY37" s="50">
        <f>NGT_TO!AY439</f>
        <v>116.87426593597758</v>
      </c>
      <c r="AZ37"/>
      <c r="BA37" s="44" t="str">
        <f t="shared" ca="1" si="10"/>
        <v>Transform_TO</v>
      </c>
      <c r="BB37" s="44" t="str">
        <f t="shared" si="11"/>
        <v>Totex allowance</v>
      </c>
      <c r="BC37" s="44" t="str">
        <f t="shared" si="12"/>
        <v>Non-variant allowances</v>
      </c>
    </row>
    <row r="38" spans="1:55">
      <c r="H38" s="150"/>
      <c r="AU38"/>
      <c r="AV38"/>
      <c r="AW38"/>
      <c r="AX38"/>
      <c r="AY38"/>
      <c r="AZ38"/>
      <c r="BA38" s="44"/>
    </row>
    <row r="39" spans="1:55" ht="17.5" thickBot="1">
      <c r="A39" s="11" t="s">
        <v>100</v>
      </c>
      <c r="H39" s="150"/>
      <c r="AZ39"/>
      <c r="BA39" s="44"/>
    </row>
    <row r="40" spans="1:55" ht="16.5" thickTop="1">
      <c r="E40" s="43" t="s">
        <v>9</v>
      </c>
      <c r="G40" s="43" t="s">
        <v>33</v>
      </c>
      <c r="H40" s="150"/>
      <c r="AU40" s="175">
        <f>NGT_TO!AU560</f>
        <v>0.59</v>
      </c>
      <c r="AV40" s="56">
        <f>NGT_TO!AV560</f>
        <v>0.59</v>
      </c>
      <c r="AW40" s="56">
        <f>NGT_TO!AW560</f>
        <v>0.59</v>
      </c>
      <c r="AX40" s="56">
        <f>NGT_TO!AX560</f>
        <v>0.59</v>
      </c>
      <c r="AY40" s="56">
        <f>NGT_TO!AY560</f>
        <v>0.59</v>
      </c>
      <c r="AZ40"/>
      <c r="BA40" s="44" t="str">
        <f ca="1">$A$1</f>
        <v>Transform_TO</v>
      </c>
      <c r="BB40" s="44" t="str">
        <f>$A$39</f>
        <v>TIM and capitalisation</v>
      </c>
    </row>
    <row r="41" spans="1:55">
      <c r="E41" s="43" t="s">
        <v>11</v>
      </c>
      <c r="G41" s="43" t="s">
        <v>33</v>
      </c>
      <c r="H41" s="150"/>
      <c r="AU41" s="175">
        <f>NGT_TO!AU561</f>
        <v>0.9</v>
      </c>
      <c r="AV41" s="56">
        <f>NGT_TO!AV561</f>
        <v>0.9</v>
      </c>
      <c r="AW41" s="56">
        <f>NGT_TO!AW561</f>
        <v>0.9</v>
      </c>
      <c r="AX41" s="56">
        <f>NGT_TO!AX561</f>
        <v>0.9</v>
      </c>
      <c r="AY41" s="56">
        <f>NGT_TO!AY561</f>
        <v>0.9</v>
      </c>
      <c r="AZ41"/>
      <c r="BA41" s="44" t="str">
        <f ca="1">$A$1</f>
        <v>Transform_TO</v>
      </c>
      <c r="BB41" s="44" t="str">
        <f>$A$39</f>
        <v>TIM and capitalisation</v>
      </c>
    </row>
    <row r="42" spans="1:55">
      <c r="E42" s="43" t="s">
        <v>314</v>
      </c>
      <c r="G42" s="43" t="s">
        <v>33</v>
      </c>
      <c r="H42" s="150"/>
      <c r="I42" s="56">
        <f>NGT_TO!I559</f>
        <v>0.39</v>
      </c>
      <c r="AU42" s="177"/>
      <c r="AV42"/>
      <c r="AW42"/>
      <c r="AX42"/>
      <c r="AY42"/>
      <c r="AZ42"/>
      <c r="BA42" s="44" t="str">
        <f ca="1">$A$1</f>
        <v>Transform_TO</v>
      </c>
      <c r="BB42" s="44" t="str">
        <f>$A$39</f>
        <v>TIM and capitalisation</v>
      </c>
    </row>
    <row r="43" spans="1:55">
      <c r="E43" s="43" t="s">
        <v>399</v>
      </c>
      <c r="G43" s="43" t="s">
        <v>33</v>
      </c>
      <c r="H43" s="150"/>
      <c r="I43" s="56">
        <f>1-I42</f>
        <v>0.61</v>
      </c>
      <c r="AZ43"/>
      <c r="BA43" s="44" t="str">
        <f ca="1">$A$1</f>
        <v>Transform_TO</v>
      </c>
      <c r="BB43" s="44" t="str">
        <f>$A$39</f>
        <v>TIM and capitalisation</v>
      </c>
    </row>
    <row r="44" spans="1:55">
      <c r="H44" s="150"/>
      <c r="AZ44"/>
      <c r="BA44" s="44"/>
    </row>
    <row r="45" spans="1:55" ht="20" thickBot="1">
      <c r="A45" s="10" t="s">
        <v>72</v>
      </c>
      <c r="H45" s="150"/>
      <c r="AZ45"/>
      <c r="BA45" s="44"/>
    </row>
    <row r="46" spans="1:55" ht="18" thickTop="1" thickBot="1">
      <c r="B46" s="11" t="s">
        <v>73</v>
      </c>
      <c r="H46" s="150"/>
      <c r="AZ46"/>
      <c r="BA46" s="44"/>
    </row>
    <row r="47" spans="1:55" ht="16.5" thickTop="1">
      <c r="E47" s="43" t="s">
        <v>357</v>
      </c>
      <c r="G47" s="43" t="str">
        <f>price_label</f>
        <v>£m 23/24 prices</v>
      </c>
      <c r="H47" s="150"/>
      <c r="J47" s="43" t="s">
        <v>10</v>
      </c>
      <c r="AH47" s="50">
        <f>NGT_TO!AH449</f>
        <v>4365.6487819877821</v>
      </c>
      <c r="AU47"/>
      <c r="AV47"/>
      <c r="AW47"/>
      <c r="AX47"/>
      <c r="AY47"/>
      <c r="AZ47"/>
      <c r="BA47" s="44" t="str">
        <f ca="1">$A$1</f>
        <v>Transform_TO</v>
      </c>
      <c r="BB47" s="44" t="str">
        <f>$A$45</f>
        <v>RAV and assets</v>
      </c>
      <c r="BC47" s="44" t="str">
        <f>$B$46</f>
        <v>Pre-vesting assets</v>
      </c>
    </row>
    <row r="48" spans="1:55">
      <c r="E48" s="43" t="s">
        <v>74</v>
      </c>
      <c r="G48" s="43" t="s">
        <v>75</v>
      </c>
      <c r="H48" s="150"/>
      <c r="I48" s="49">
        <f>NGT_TO!I450</f>
        <v>56</v>
      </c>
      <c r="AZ48"/>
      <c r="BA48" s="44" t="str">
        <f ca="1">$A$1</f>
        <v>Transform_TO</v>
      </c>
      <c r="BB48" s="44" t="str">
        <f>$A$45</f>
        <v>RAV and assets</v>
      </c>
      <c r="BC48" s="44" t="str">
        <f>$B$46</f>
        <v>Pre-vesting assets</v>
      </c>
    </row>
    <row r="49" spans="1:56">
      <c r="E49" s="43" t="s">
        <v>431</v>
      </c>
      <c r="G49" s="43" t="s">
        <v>75</v>
      </c>
      <c r="H49" s="150"/>
      <c r="J49" s="43" t="s">
        <v>10</v>
      </c>
      <c r="AH49" s="49">
        <f>NGT_TO!AH451</f>
        <v>45</v>
      </c>
      <c r="AI49" s="49">
        <f>NGT_TO!AI451</f>
        <v>44</v>
      </c>
      <c r="AJ49" s="49">
        <f>NGT_TO!AJ451</f>
        <v>43</v>
      </c>
      <c r="AK49" s="49">
        <f>NGT_TO!AK451</f>
        <v>42</v>
      </c>
      <c r="AL49" s="49">
        <f>NGT_TO!AL451</f>
        <v>41</v>
      </c>
      <c r="AM49" s="49">
        <f>NGT_TO!AM451</f>
        <v>40</v>
      </c>
      <c r="AN49" s="49">
        <f>NGT_TO!AN451</f>
        <v>39</v>
      </c>
      <c r="AO49" s="49">
        <f>NGT_TO!AO451</f>
        <v>38</v>
      </c>
      <c r="AP49" s="49">
        <f>NGT_TO!AP451</f>
        <v>37</v>
      </c>
      <c r="AQ49" s="49">
        <f>NGT_TO!AQ451</f>
        <v>36</v>
      </c>
      <c r="AR49" s="49">
        <f>NGT_TO!AR451</f>
        <v>35</v>
      </c>
      <c r="AS49" s="49">
        <f>NGT_TO!AS451</f>
        <v>34</v>
      </c>
      <c r="AT49" s="93">
        <f>NGT_TO!AT451</f>
        <v>33</v>
      </c>
      <c r="AU49" s="179">
        <f>NGT_TO!AU451</f>
        <v>32</v>
      </c>
      <c r="AV49" s="49">
        <f>NGT_TO!AV451</f>
        <v>31</v>
      </c>
      <c r="AW49" s="49">
        <f>NGT_TO!AW451</f>
        <v>30</v>
      </c>
      <c r="AX49" s="49">
        <f>NGT_TO!AX451</f>
        <v>29</v>
      </c>
      <c r="AY49" s="49">
        <f>NGT_TO!AY451</f>
        <v>28</v>
      </c>
      <c r="AZ49"/>
      <c r="BA49" s="44" t="str">
        <f ca="1">$A$1</f>
        <v>Transform_TO</v>
      </c>
      <c r="BB49" s="44" t="str">
        <f>$A$45</f>
        <v>RAV and assets</v>
      </c>
      <c r="BC49" s="44" t="str">
        <f>$B$46</f>
        <v>Pre-vesting assets</v>
      </c>
    </row>
    <row r="50" spans="1:56">
      <c r="H50" s="150"/>
      <c r="AZ50"/>
      <c r="BA50" s="44"/>
    </row>
    <row r="51" spans="1:56" ht="17.5" thickBot="1">
      <c r="B51" s="11" t="s">
        <v>76</v>
      </c>
      <c r="H51" s="150"/>
      <c r="AZ51"/>
      <c r="BA51" s="44"/>
    </row>
    <row r="52" spans="1:56" ht="16.5" thickTop="1">
      <c r="E52" s="43" t="s">
        <v>623</v>
      </c>
      <c r="G52" s="43" t="s">
        <v>75</v>
      </c>
      <c r="H52" s="150"/>
      <c r="I52"/>
      <c r="J52" s="43" t="s">
        <v>10</v>
      </c>
      <c r="V52"/>
      <c r="W52"/>
      <c r="X52" s="49">
        <f>NGT_TO!X454</f>
        <v>45</v>
      </c>
      <c r="Y52" s="49">
        <f>NGT_TO!Y454</f>
        <v>45</v>
      </c>
      <c r="Z52" s="49">
        <f>NGT_TO!Z454</f>
        <v>45</v>
      </c>
      <c r="AA52" s="49">
        <f>NGT_TO!AA454</f>
        <v>45</v>
      </c>
      <c r="AB52" s="49">
        <f>NGT_TO!AB454</f>
        <v>45</v>
      </c>
      <c r="AC52" s="49">
        <f>NGT_TO!AC454</f>
        <v>45</v>
      </c>
      <c r="AD52" s="49">
        <f>NGT_TO!AD454</f>
        <v>45</v>
      </c>
      <c r="AE52" s="49">
        <f>NGT_TO!AE454</f>
        <v>45</v>
      </c>
      <c r="AF52" s="49">
        <f>NGT_TO!AF454</f>
        <v>45</v>
      </c>
      <c r="AG52" s="49">
        <f>NGT_TO!AG454</f>
        <v>45</v>
      </c>
      <c r="AH52" s="49">
        <f>NGT_TO!AH454</f>
        <v>45</v>
      </c>
      <c r="AI52" s="49">
        <f>NGT_TO!AI454</f>
        <v>45</v>
      </c>
      <c r="AJ52" s="49">
        <f>NGT_TO!AJ454</f>
        <v>45</v>
      </c>
      <c r="AK52" s="49">
        <f>NGT_TO!AK454</f>
        <v>45</v>
      </c>
      <c r="AL52" s="49">
        <f>NGT_TO!AL454</f>
        <v>45</v>
      </c>
      <c r="AM52" s="49">
        <f>NGT_TO!AM454</f>
        <v>45</v>
      </c>
      <c r="AN52" s="49">
        <f>NGT_TO!AN454</f>
        <v>45</v>
      </c>
      <c r="AO52" s="49">
        <f>NGT_TO!AO454</f>
        <v>45</v>
      </c>
      <c r="AP52" s="49">
        <f>NGT_TO!AP454</f>
        <v>45</v>
      </c>
      <c r="AQ52" s="49">
        <f>NGT_TO!AQ454</f>
        <v>45</v>
      </c>
      <c r="AR52" s="49">
        <f>NGT_TO!AR454</f>
        <v>45</v>
      </c>
      <c r="AS52" s="49">
        <f>NGT_TO!AS454</f>
        <v>45</v>
      </c>
      <c r="AT52" s="93">
        <f>NGT_TO!AT454</f>
        <v>45</v>
      </c>
      <c r="AU52" s="179">
        <f>NGT_TO!AU454</f>
        <v>45</v>
      </c>
      <c r="AV52" s="49">
        <f>NGT_TO!AV454</f>
        <v>45</v>
      </c>
      <c r="AW52" s="49">
        <f>NGT_TO!AW454</f>
        <v>45</v>
      </c>
      <c r="AX52" s="49">
        <f>NGT_TO!AX454</f>
        <v>45</v>
      </c>
      <c r="AY52" s="49">
        <f>NGT_TO!AY454</f>
        <v>45</v>
      </c>
      <c r="AZ52"/>
      <c r="BA52" s="44" t="str">
        <f ca="1">$A$1</f>
        <v>Transform_TO</v>
      </c>
      <c r="BB52" s="44" t="str">
        <f>$A$45</f>
        <v>RAV and assets</v>
      </c>
      <c r="BC52" s="44" t="str">
        <f>$B$51</f>
        <v>Post-vesting assets</v>
      </c>
    </row>
    <row r="53" spans="1:56">
      <c r="E53" s="43" t="s">
        <v>265</v>
      </c>
      <c r="G53" s="43" t="s">
        <v>75</v>
      </c>
      <c r="H53" s="150"/>
      <c r="I53" s="49">
        <f>NGT_TO!I456</f>
        <v>45</v>
      </c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 s="77"/>
      <c r="AU53"/>
      <c r="AV53"/>
      <c r="AW53"/>
      <c r="AX53"/>
      <c r="AY53"/>
      <c r="AZ53"/>
      <c r="BA53" s="44" t="str">
        <f ca="1">$A$1</f>
        <v>Transform_TO</v>
      </c>
      <c r="BB53" s="44" t="str">
        <f>$A$45</f>
        <v>RAV and assets</v>
      </c>
      <c r="BC53" s="44" t="str">
        <f>$B$51</f>
        <v>Post-vesting assets</v>
      </c>
    </row>
    <row r="54" spans="1:56">
      <c r="E54" s="43" t="s">
        <v>266</v>
      </c>
      <c r="G54" s="43" t="s">
        <v>77</v>
      </c>
      <c r="H54" s="150"/>
      <c r="I54" s="58">
        <f>NGT_TO!I457</f>
        <v>37711</v>
      </c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 s="77"/>
      <c r="AU54"/>
      <c r="AV54"/>
      <c r="AW54"/>
      <c r="AX54"/>
      <c r="AY54"/>
      <c r="AZ54"/>
      <c r="BA54" s="44" t="str">
        <f ca="1">$A$1</f>
        <v>Transform_TO</v>
      </c>
      <c r="BB54" s="44" t="str">
        <f>$A$45</f>
        <v>RAV and assets</v>
      </c>
      <c r="BC54" s="44" t="str">
        <f>$B$51</f>
        <v>Post-vesting assets</v>
      </c>
    </row>
    <row r="55" spans="1:56">
      <c r="E55" s="43" t="s">
        <v>267</v>
      </c>
      <c r="G55" s="43" t="s">
        <v>77</v>
      </c>
      <c r="H55" s="150"/>
      <c r="I55" s="58">
        <f>NGT_TO!I458</f>
        <v>44651</v>
      </c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 s="77"/>
      <c r="AU55"/>
      <c r="AV55"/>
      <c r="AW55"/>
      <c r="AX55"/>
      <c r="AY55"/>
      <c r="AZ55"/>
      <c r="BA55" s="44" t="str">
        <f ca="1">$A$1</f>
        <v>Transform_TO</v>
      </c>
      <c r="BB55" s="44" t="str">
        <f>$A$45</f>
        <v>RAV and assets</v>
      </c>
      <c r="BC55" s="44" t="str">
        <f>$B$51</f>
        <v>Post-vesting assets</v>
      </c>
    </row>
    <row r="56" spans="1:56">
      <c r="E56" s="43" t="s">
        <v>268</v>
      </c>
      <c r="G56" s="43" t="s">
        <v>75</v>
      </c>
      <c r="H56" s="150"/>
      <c r="I56" s="49">
        <f>NGT_TO!I459</f>
        <v>20</v>
      </c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 s="77"/>
      <c r="AU56"/>
      <c r="AV56"/>
      <c r="AW56"/>
      <c r="AX56"/>
      <c r="AY56"/>
      <c r="AZ56"/>
      <c r="BA56" s="44" t="str">
        <f ca="1">$A$1</f>
        <v>Transform_TO</v>
      </c>
      <c r="BB56" s="44" t="str">
        <f>$A$45</f>
        <v>RAV and assets</v>
      </c>
      <c r="BC56" s="44" t="str">
        <f>$B$51</f>
        <v>Post-vesting assets</v>
      </c>
    </row>
    <row r="57" spans="1:56">
      <c r="H57" s="150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 s="77"/>
      <c r="AU57"/>
      <c r="AV57"/>
      <c r="AW57"/>
      <c r="AX57"/>
      <c r="AY57"/>
      <c r="AZ57"/>
      <c r="BA57" s="44"/>
    </row>
    <row r="58" spans="1:56">
      <c r="E58" s="43" t="s">
        <v>78</v>
      </c>
      <c r="G58" s="43" t="str">
        <f>price_label</f>
        <v>£m 23/24 prices</v>
      </c>
      <c r="H58" s="150"/>
      <c r="J58" s="43" t="s">
        <v>10</v>
      </c>
      <c r="X58" s="50">
        <f>NGT_TO!X461</f>
        <v>489.50727363148951</v>
      </c>
      <c r="Y58" s="50">
        <f>NGT_TO!Y461</f>
        <v>157.60976769562583</v>
      </c>
      <c r="Z58" s="50">
        <f>NGT_TO!Z461</f>
        <v>490.59417497458742</v>
      </c>
      <c r="AA58" s="50">
        <f>NGT_TO!AA461</f>
        <v>884.86120142045354</v>
      </c>
      <c r="AB58" s="50">
        <f>NGT_TO!AB461</f>
        <v>957.9204794502175</v>
      </c>
      <c r="AC58" s="50">
        <f>NGT_TO!AC461</f>
        <v>405.1758456583176</v>
      </c>
      <c r="AD58" s="50">
        <f>NGT_TO!AD461</f>
        <v>201.45679890575062</v>
      </c>
      <c r="AE58" s="50">
        <f>NGT_TO!AE461</f>
        <v>163.49980480015913</v>
      </c>
      <c r="AF58" s="50">
        <f>NGT_TO!AF461</f>
        <v>165.3576046586341</v>
      </c>
      <c r="AG58" s="50">
        <f>NGT_TO!AG461</f>
        <v>-47.034102572314929</v>
      </c>
      <c r="AH58"/>
      <c r="AI58"/>
      <c r="AJ58"/>
      <c r="AK58"/>
      <c r="AL58"/>
      <c r="AM58"/>
      <c r="AN58"/>
      <c r="AO58"/>
      <c r="AP58"/>
      <c r="AQ58"/>
      <c r="AR58"/>
      <c r="AS58"/>
      <c r="AT58" s="77"/>
      <c r="AU58"/>
      <c r="AV58"/>
      <c r="AW58"/>
      <c r="AX58"/>
      <c r="AY58"/>
      <c r="AZ58"/>
      <c r="BA58" s="44" t="str">
        <f ca="1">$A$1</f>
        <v>Transform_TO</v>
      </c>
      <c r="BB58" s="44" t="str">
        <f>$A$45</f>
        <v>RAV and assets</v>
      </c>
      <c r="BC58" s="44" t="str">
        <f>$B$51</f>
        <v>Post-vesting assets</v>
      </c>
    </row>
    <row r="59" spans="1:56" ht="16.5">
      <c r="A59"/>
      <c r="E59" s="43" t="s">
        <v>805</v>
      </c>
      <c r="F59" s="150" t="str">
        <f>NGT_TO!F463</f>
        <v>SpC 7.4</v>
      </c>
      <c r="G59" s="43" t="str">
        <f>price_label</f>
        <v>£m 23/24 prices</v>
      </c>
      <c r="H59" s="48" t="s">
        <v>1040</v>
      </c>
      <c r="I59"/>
      <c r="J59" s="43" t="s">
        <v>10</v>
      </c>
      <c r="X59"/>
      <c r="Y59"/>
      <c r="Z59"/>
      <c r="AA59"/>
      <c r="AB59"/>
      <c r="AC59"/>
      <c r="AD59"/>
      <c r="AE59"/>
      <c r="AF59"/>
      <c r="AG59"/>
      <c r="AH59" s="50">
        <f>NGT_TO!AH463</f>
        <v>262.13061665762154</v>
      </c>
      <c r="AI59" s="50">
        <f>NGT_TO!AI463</f>
        <v>208.3748605321918</v>
      </c>
      <c r="AJ59" s="50">
        <f>NGT_TO!AJ463</f>
        <v>197.01125140359775</v>
      </c>
      <c r="AK59" s="50">
        <f>NGT_TO!AK463</f>
        <v>222.94979360206582</v>
      </c>
      <c r="AL59" s="50">
        <f>NGT_TO!AL463</f>
        <v>283.53902493160496</v>
      </c>
      <c r="AM59" s="50">
        <f>NGT_TO!AM463</f>
        <v>255.40883536878235</v>
      </c>
      <c r="AN59" s="50">
        <f>NGT_TO!AN463</f>
        <v>215.81535000502981</v>
      </c>
      <c r="AO59" s="50">
        <f>NGT_TO!AO463</f>
        <v>179.7363984175511</v>
      </c>
      <c r="AP59" s="50">
        <f>NGT_TO!AP463</f>
        <v>245.42931155302847</v>
      </c>
      <c r="AQ59" s="50">
        <f>NGT_TO!AQ463</f>
        <v>301.12844749196552</v>
      </c>
      <c r="AR59" s="50">
        <f>NGT_TO!AR463</f>
        <v>345.04101302096547</v>
      </c>
      <c r="AS59" s="50">
        <f>NGT_TO!AS463</f>
        <v>422.9336722196291</v>
      </c>
      <c r="AT59" s="92">
        <f>NGT_TO!AT463</f>
        <v>562.17788436111846</v>
      </c>
      <c r="AU59"/>
      <c r="AV59"/>
      <c r="AW59"/>
      <c r="AX59"/>
      <c r="AY59"/>
      <c r="AZ59"/>
      <c r="BA59" s="44" t="str">
        <f ca="1">$A$1</f>
        <v>Transform_TO</v>
      </c>
      <c r="BB59" s="44" t="str">
        <f>$A$45</f>
        <v>RAV and assets</v>
      </c>
      <c r="BC59" s="44" t="str">
        <f>$B$51</f>
        <v>Post-vesting assets</v>
      </c>
    </row>
    <row r="60" spans="1:56">
      <c r="A60"/>
      <c r="H60" s="15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 s="77"/>
      <c r="AU60"/>
      <c r="AV60"/>
      <c r="AW60"/>
      <c r="AX60"/>
      <c r="AY60"/>
      <c r="AZ60"/>
      <c r="BA60" s="44"/>
    </row>
    <row r="61" spans="1:56" customFormat="1" ht="14.5">
      <c r="E61" s="43" t="s">
        <v>269</v>
      </c>
      <c r="F61" s="151"/>
      <c r="G61" t="s">
        <v>75</v>
      </c>
      <c r="H61" s="151">
        <f>NGT_TO!H465</f>
        <v>0</v>
      </c>
      <c r="I61" s="59">
        <f>NGT_TO!I465</f>
        <v>45</v>
      </c>
      <c r="AT61" s="77"/>
      <c r="BA61" s="44" t="str">
        <f ca="1">$A$1</f>
        <v>Transform_TO</v>
      </c>
      <c r="BB61" s="44" t="str">
        <f>$A$45</f>
        <v>RAV and assets</v>
      </c>
      <c r="BC61" s="44" t="str">
        <f>$B$51</f>
        <v>Post-vesting assets</v>
      </c>
      <c r="BD61" s="1"/>
    </row>
    <row r="62" spans="1:56" customFormat="1" ht="14.5">
      <c r="E62" s="43" t="s">
        <v>270</v>
      </c>
      <c r="F62" s="151"/>
      <c r="G62" s="43" t="str">
        <f>price_label</f>
        <v>£m 23/24 prices</v>
      </c>
      <c r="H62" s="151"/>
      <c r="J62" t="s">
        <v>10</v>
      </c>
      <c r="Y62" s="38">
        <f>NGT_TO!Y466</f>
        <v>0</v>
      </c>
      <c r="Z62" s="38">
        <f>NGT_TO!Z466</f>
        <v>0</v>
      </c>
      <c r="AA62" s="38">
        <f>NGT_TO!AA466</f>
        <v>0.26244731396357457</v>
      </c>
      <c r="AB62" s="38">
        <f>NGT_TO!AB466</f>
        <v>146.51808442914222</v>
      </c>
      <c r="AC62" s="38">
        <f>NGT_TO!AC466</f>
        <v>0</v>
      </c>
      <c r="AD62" s="38">
        <f>NGT_TO!AD466</f>
        <v>0.67474092198257929</v>
      </c>
      <c r="AE62" s="38">
        <f>NGT_TO!AE466</f>
        <v>0.89126804739312737</v>
      </c>
      <c r="AF62" s="38">
        <f>NGT_TO!AF466</f>
        <v>2.7149740291125735</v>
      </c>
      <c r="AG62" s="38">
        <f>NGT_TO!AG466</f>
        <v>0</v>
      </c>
      <c r="AT62" s="77"/>
      <c r="BA62" s="44" t="str">
        <f ca="1">$A$1</f>
        <v>Transform_TO</v>
      </c>
      <c r="BB62" s="44" t="str">
        <f>$A$45</f>
        <v>RAV and assets</v>
      </c>
      <c r="BC62" s="44" t="str">
        <f>$B$51</f>
        <v>Post-vesting assets</v>
      </c>
      <c r="BD62" s="1"/>
    </row>
    <row r="63" spans="1:56" customFormat="1" ht="14.5">
      <c r="E63" s="43" t="s">
        <v>271</v>
      </c>
      <c r="F63" s="151"/>
      <c r="G63" s="43" t="str">
        <f>price_label</f>
        <v>£m 23/24 prices</v>
      </c>
      <c r="H63" s="151"/>
      <c r="J63" t="s">
        <v>10</v>
      </c>
      <c r="Y63" s="38">
        <f>NGT_TO!Y467</f>
        <v>0</v>
      </c>
      <c r="Z63" s="38">
        <f>NGT_TO!Z467</f>
        <v>0</v>
      </c>
      <c r="AA63" s="38">
        <f>NGT_TO!AA467</f>
        <v>0</v>
      </c>
      <c r="AB63" s="38">
        <f>NGT_TO!AB467</f>
        <v>0</v>
      </c>
      <c r="AC63" s="38">
        <f>NGT_TO!AC467</f>
        <v>12.019872898560903</v>
      </c>
      <c r="AD63" s="38">
        <f>NGT_TO!AD467</f>
        <v>19.93476752669843</v>
      </c>
      <c r="AE63" s="38">
        <f>NGT_TO!AE467</f>
        <v>94.539545880371833</v>
      </c>
      <c r="AF63" s="38">
        <f>NGT_TO!AF467</f>
        <v>91.126335374749416</v>
      </c>
      <c r="AG63" s="38">
        <f>NGT_TO!AG467</f>
        <v>0</v>
      </c>
      <c r="AT63" s="77"/>
      <c r="BA63" s="44" t="str">
        <f ca="1">$A$1</f>
        <v>Transform_TO</v>
      </c>
      <c r="BB63" s="44" t="str">
        <f>$A$45</f>
        <v>RAV and assets</v>
      </c>
      <c r="BC63" s="44" t="str">
        <f>$B$51</f>
        <v>Post-vesting assets</v>
      </c>
      <c r="BD63" s="1"/>
    </row>
    <row r="64" spans="1:56" customFormat="1" ht="14.5">
      <c r="E64" s="43"/>
      <c r="F64" s="151"/>
      <c r="G64" s="43"/>
      <c r="H64" s="151"/>
      <c r="AT64" s="77"/>
      <c r="BA64" s="44" t="str">
        <f ca="1">$A$1</f>
        <v>Transform_TO</v>
      </c>
      <c r="BB64" s="44" t="str">
        <f>$A$45</f>
        <v>RAV and assets</v>
      </c>
      <c r="BC64" s="44" t="str">
        <f>$B$51</f>
        <v>Post-vesting assets</v>
      </c>
      <c r="BD64" s="1"/>
    </row>
    <row r="65" spans="1:56" customFormat="1" ht="14.5">
      <c r="E65" s="43" t="s">
        <v>1149</v>
      </c>
      <c r="F65" s="151"/>
      <c r="G65" s="43" t="str">
        <f>price_label</f>
        <v>£m 23/24 prices</v>
      </c>
      <c r="H65" s="151"/>
      <c r="J65" s="43" t="s">
        <v>10</v>
      </c>
      <c r="AH65" s="38">
        <f>NGT_TO!AH469</f>
        <v>6990.4820530018551</v>
      </c>
      <c r="AI65" s="38">
        <f>NGT_TO!AI469</f>
        <v>6971.3678183930842</v>
      </c>
      <c r="AJ65" s="38">
        <f>NGT_TO!AJ469</f>
        <v>6939.4937969303483</v>
      </c>
      <c r="AK65" s="38">
        <f>NGT_TO!AK469</f>
        <v>6952.1281347841759</v>
      </c>
      <c r="AL65" s="38">
        <f>NGT_TO!AL469</f>
        <v>7413.3465451471511</v>
      </c>
      <c r="AM65" s="38">
        <f>NGT_TO!AM469</f>
        <v>7439.5882747115083</v>
      </c>
      <c r="AN65" s="38">
        <f>NGT_TO!AN469</f>
        <v>7430.0564169626414</v>
      </c>
      <c r="AO65" s="38">
        <f>NGT_TO!AO469</f>
        <v>7353.466612113355</v>
      </c>
      <c r="AP65" s="38">
        <f>NGT_TO!AP469</f>
        <v>7230.3699108001829</v>
      </c>
      <c r="AQ65" s="38">
        <f>NGT_TO!AQ469</f>
        <v>7160.5382418342197</v>
      </c>
      <c r="AR65" s="38">
        <f>NGT_TO!AR469</f>
        <v>7130.0004630125813</v>
      </c>
      <c r="AS65" s="38">
        <f>NGT_TO!AS469</f>
        <v>7171.1183713853061</v>
      </c>
      <c r="AT65" s="94">
        <f>NGT_TO!AT469</f>
        <v>7342.1902554981953</v>
      </c>
      <c r="BA65" s="44" t="str">
        <f ca="1">$A$1</f>
        <v>Transform_TO</v>
      </c>
      <c r="BB65" s="44" t="str">
        <f>$A$45</f>
        <v>RAV and assets</v>
      </c>
      <c r="BC65" s="44" t="str">
        <f>$B$51</f>
        <v>Post-vesting assets</v>
      </c>
      <c r="BD65" s="1"/>
    </row>
    <row r="66" spans="1:56" customFormat="1" ht="14.5">
      <c r="E66" s="43"/>
      <c r="F66" s="151"/>
      <c r="G66" s="43"/>
      <c r="H66" s="151"/>
      <c r="AT66" s="77"/>
      <c r="BA66" s="44"/>
      <c r="BB66" s="44"/>
      <c r="BC66" s="44"/>
      <c r="BD66" s="1"/>
    </row>
    <row r="67" spans="1:56" customFormat="1" ht="14.5">
      <c r="E67" s="43"/>
      <c r="F67" s="151"/>
      <c r="H67" s="151"/>
      <c r="AT67" s="77"/>
      <c r="BA67" s="44"/>
      <c r="BB67" s="1"/>
      <c r="BC67" s="1"/>
      <c r="BD67" s="1"/>
    </row>
    <row r="68" spans="1:56" customFormat="1" ht="20" thickBot="1">
      <c r="A68" s="15" t="s">
        <v>272</v>
      </c>
      <c r="F68" s="151"/>
      <c r="H68" s="151"/>
      <c r="AT68" s="77"/>
      <c r="BA68" s="44"/>
      <c r="BB68" s="1"/>
      <c r="BC68" s="1"/>
      <c r="BD68" s="1"/>
    </row>
    <row r="69" spans="1:56" ht="16.5" thickTop="1">
      <c r="E69" s="43" t="s">
        <v>465</v>
      </c>
      <c r="G69" s="43" t="str">
        <f t="shared" ref="G69:G83" si="13">price_label</f>
        <v>£m 23/24 prices</v>
      </c>
      <c r="H69" s="150"/>
      <c r="J69" s="43" t="s">
        <v>10</v>
      </c>
      <c r="AG69"/>
      <c r="AH69" s="50">
        <f>NGT_TO!AH472</f>
        <v>0</v>
      </c>
      <c r="AI69" s="50">
        <f>NGT_TO!AI472</f>
        <v>0</v>
      </c>
      <c r="AJ69" s="50">
        <f>NGT_TO!AJ472</f>
        <v>0</v>
      </c>
      <c r="AK69" s="50">
        <f>NGT_TO!AK472</f>
        <v>0</v>
      </c>
      <c r="AL69" s="50">
        <f>NGT_TO!AL472</f>
        <v>-93.326306560462868</v>
      </c>
      <c r="AM69" s="50">
        <f>NGT_TO!AM472</f>
        <v>0</v>
      </c>
      <c r="AN69" s="50">
        <f>NGT_TO!AN472</f>
        <v>0</v>
      </c>
      <c r="AO69" s="50">
        <f>NGT_TO!AO472</f>
        <v>0</v>
      </c>
      <c r="AP69" s="50">
        <f>NGT_TO!AP472</f>
        <v>0</v>
      </c>
      <c r="AQ69" s="50">
        <f>NGT_TO!AQ472</f>
        <v>0</v>
      </c>
      <c r="AR69" s="50">
        <f>NGT_TO!AR472</f>
        <v>0</v>
      </c>
      <c r="AS69" s="50">
        <f>NGT_TO!AS472</f>
        <v>0</v>
      </c>
      <c r="AT69" s="92">
        <f>NGT_TO!AT472</f>
        <v>0</v>
      </c>
      <c r="BA69" s="44" t="str">
        <f ca="1">$A$1</f>
        <v>Transform_TO</v>
      </c>
      <c r="BB69" s="44" t="str">
        <f t="shared" ref="BB69:BB83" si="14">$A$68</f>
        <v>Revenue drivers</v>
      </c>
    </row>
    <row r="70" spans="1:56">
      <c r="E70" s="43" t="s">
        <v>467</v>
      </c>
      <c r="G70" s="43" t="str">
        <f t="shared" si="13"/>
        <v>£m 23/24 prices</v>
      </c>
      <c r="H70" s="150"/>
      <c r="J70" s="43" t="s">
        <v>10</v>
      </c>
      <c r="AG70"/>
      <c r="AH70" s="50">
        <f>NGT_TO!AH473</f>
        <v>0</v>
      </c>
      <c r="AI70" s="50">
        <f>NGT_TO!AI473</f>
        <v>0</v>
      </c>
      <c r="AJ70" s="50">
        <f>NGT_TO!AJ473</f>
        <v>0</v>
      </c>
      <c r="AK70" s="50">
        <f>NGT_TO!AK473</f>
        <v>0</v>
      </c>
      <c r="AL70" s="50">
        <f>NGT_TO!AL473</f>
        <v>-25.003228037172605</v>
      </c>
      <c r="AM70" s="50">
        <f>NGT_TO!AM473</f>
        <v>0</v>
      </c>
      <c r="AN70" s="50">
        <f>NGT_TO!AN473</f>
        <v>0</v>
      </c>
      <c r="AO70" s="50">
        <f>NGT_TO!AO473</f>
        <v>0</v>
      </c>
      <c r="AP70" s="50">
        <f>NGT_TO!AP473</f>
        <v>0</v>
      </c>
      <c r="AQ70" s="50">
        <f>NGT_TO!AQ473</f>
        <v>0</v>
      </c>
      <c r="AR70" s="50">
        <f>NGT_TO!AR473</f>
        <v>0</v>
      </c>
      <c r="AS70" s="50">
        <f>NGT_TO!AS473</f>
        <v>0</v>
      </c>
      <c r="AT70" s="92">
        <f>NGT_TO!AT473</f>
        <v>0</v>
      </c>
      <c r="BA70" s="44" t="str">
        <f t="shared" ref="BA70:BA83" ca="1" si="15">$A$1</f>
        <v>Transform_TO</v>
      </c>
      <c r="BB70" s="44" t="str">
        <f t="shared" si="14"/>
        <v>Revenue drivers</v>
      </c>
    </row>
    <row r="71" spans="1:56">
      <c r="E71" s="43" t="s">
        <v>469</v>
      </c>
      <c r="G71" s="43" t="str">
        <f t="shared" si="13"/>
        <v>£m 23/24 prices</v>
      </c>
      <c r="H71" s="150"/>
      <c r="J71" s="43" t="s">
        <v>10</v>
      </c>
      <c r="AG71"/>
      <c r="AH71" s="50">
        <f>NGT_TO!AH474</f>
        <v>0</v>
      </c>
      <c r="AI71" s="50">
        <f>NGT_TO!AI474</f>
        <v>0</v>
      </c>
      <c r="AJ71" s="50">
        <f>NGT_TO!AJ474</f>
        <v>0</v>
      </c>
      <c r="AK71" s="50">
        <f>NGT_TO!AK474</f>
        <v>0</v>
      </c>
      <c r="AL71" s="50">
        <f>NGT_TO!AL474</f>
        <v>-18.947835400047019</v>
      </c>
      <c r="AM71" s="50">
        <f>NGT_TO!AM474</f>
        <v>0</v>
      </c>
      <c r="AN71" s="50">
        <f>NGT_TO!AN474</f>
        <v>0</v>
      </c>
      <c r="AO71" s="50">
        <f>NGT_TO!AO474</f>
        <v>0</v>
      </c>
      <c r="AP71" s="50">
        <f>NGT_TO!AP474</f>
        <v>0</v>
      </c>
      <c r="AQ71" s="50">
        <f>NGT_TO!AQ474</f>
        <v>0</v>
      </c>
      <c r="AR71" s="50">
        <f>NGT_TO!AR474</f>
        <v>0</v>
      </c>
      <c r="AS71" s="50">
        <f>NGT_TO!AS474</f>
        <v>0</v>
      </c>
      <c r="AT71" s="92">
        <f>NGT_TO!AT474</f>
        <v>0</v>
      </c>
      <c r="BA71" s="44" t="str">
        <f t="shared" ca="1" si="15"/>
        <v>Transform_TO</v>
      </c>
      <c r="BB71" s="44" t="str">
        <f t="shared" si="14"/>
        <v>Revenue drivers</v>
      </c>
    </row>
    <row r="72" spans="1:56">
      <c r="E72" s="43" t="s">
        <v>471</v>
      </c>
      <c r="G72" s="43" t="str">
        <f t="shared" si="13"/>
        <v>£m 23/24 prices</v>
      </c>
      <c r="H72" s="150"/>
      <c r="J72" s="43" t="s">
        <v>10</v>
      </c>
      <c r="AG72"/>
      <c r="AH72" s="50">
        <f>NGT_TO!AH475</f>
        <v>0</v>
      </c>
      <c r="AI72" s="50">
        <f>NGT_TO!AI475</f>
        <v>0</v>
      </c>
      <c r="AJ72" s="50">
        <f>NGT_TO!AJ475</f>
        <v>0</v>
      </c>
      <c r="AK72" s="50">
        <f>NGT_TO!AK475</f>
        <v>0</v>
      </c>
      <c r="AL72" s="50">
        <f>NGT_TO!AL475</f>
        <v>-369.92349467998929</v>
      </c>
      <c r="AM72" s="50">
        <f>NGT_TO!AM475</f>
        <v>0</v>
      </c>
      <c r="AN72" s="50">
        <f>NGT_TO!AN475</f>
        <v>0</v>
      </c>
      <c r="AO72" s="50">
        <f>NGT_TO!AO475</f>
        <v>0</v>
      </c>
      <c r="AP72" s="50">
        <f>NGT_TO!AP475</f>
        <v>0</v>
      </c>
      <c r="AQ72" s="50">
        <f>NGT_TO!AQ475</f>
        <v>0</v>
      </c>
      <c r="AR72" s="50">
        <f>NGT_TO!AR475</f>
        <v>0</v>
      </c>
      <c r="AS72" s="50">
        <f>NGT_TO!AS475</f>
        <v>0</v>
      </c>
      <c r="AT72" s="92">
        <f>NGT_TO!AT475</f>
        <v>0</v>
      </c>
      <c r="BA72" s="44" t="str">
        <f t="shared" ca="1" si="15"/>
        <v>Transform_TO</v>
      </c>
      <c r="BB72" s="44" t="str">
        <f t="shared" si="14"/>
        <v>Revenue drivers</v>
      </c>
    </row>
    <row r="73" spans="1:56">
      <c r="E73" s="43" t="s">
        <v>473</v>
      </c>
      <c r="G73" s="43" t="str">
        <f t="shared" si="13"/>
        <v>£m 23/24 prices</v>
      </c>
      <c r="H73" s="150"/>
      <c r="J73" s="43" t="s">
        <v>10</v>
      </c>
      <c r="AG73"/>
      <c r="AH73" s="50">
        <f>NGT_TO!AH476</f>
        <v>0</v>
      </c>
      <c r="AI73" s="50">
        <f>NGT_TO!AI476</f>
        <v>0</v>
      </c>
      <c r="AJ73" s="50">
        <f>NGT_TO!AJ476</f>
        <v>0</v>
      </c>
      <c r="AK73" s="50">
        <f>NGT_TO!AK476</f>
        <v>0</v>
      </c>
      <c r="AL73" s="50">
        <f>NGT_TO!AL476</f>
        <v>-1.6434430462628162</v>
      </c>
      <c r="AM73" s="50">
        <f>NGT_TO!AM476</f>
        <v>0</v>
      </c>
      <c r="AN73" s="50">
        <f>NGT_TO!AN476</f>
        <v>0</v>
      </c>
      <c r="AO73" s="50">
        <f>NGT_TO!AO476</f>
        <v>0</v>
      </c>
      <c r="AP73" s="50">
        <f>NGT_TO!AP476</f>
        <v>0</v>
      </c>
      <c r="AQ73" s="50">
        <f>NGT_TO!AQ476</f>
        <v>0</v>
      </c>
      <c r="AR73" s="50">
        <f>NGT_TO!AR476</f>
        <v>0</v>
      </c>
      <c r="AS73" s="50">
        <f>NGT_TO!AS476</f>
        <v>0</v>
      </c>
      <c r="AT73" s="92">
        <f>NGT_TO!AT476</f>
        <v>0</v>
      </c>
      <c r="BA73" s="44" t="str">
        <f t="shared" ca="1" si="15"/>
        <v>Transform_TO</v>
      </c>
      <c r="BB73" s="44" t="str">
        <f t="shared" si="14"/>
        <v>Revenue drivers</v>
      </c>
    </row>
    <row r="74" spans="1:56">
      <c r="E74" s="43" t="s">
        <v>475</v>
      </c>
      <c r="G74" s="43" t="str">
        <f t="shared" si="13"/>
        <v>£m 23/24 prices</v>
      </c>
      <c r="H74" s="150"/>
      <c r="J74" s="43" t="s">
        <v>10</v>
      </c>
      <c r="AG74"/>
      <c r="AH74" s="50">
        <f>NGT_TO!AH477</f>
        <v>0</v>
      </c>
      <c r="AI74" s="50">
        <f>NGT_TO!AI477</f>
        <v>0</v>
      </c>
      <c r="AJ74" s="50">
        <f>NGT_TO!AJ477</f>
        <v>0</v>
      </c>
      <c r="AK74" s="50">
        <f>NGT_TO!AK477</f>
        <v>0</v>
      </c>
      <c r="AL74" s="50">
        <f>NGT_TO!AL477</f>
        <v>0</v>
      </c>
      <c r="AM74" s="50">
        <f>NGT_TO!AM477</f>
        <v>0</v>
      </c>
      <c r="AN74" s="50">
        <f>NGT_TO!AN477</f>
        <v>0</v>
      </c>
      <c r="AO74" s="50">
        <f>NGT_TO!AO477</f>
        <v>0</v>
      </c>
      <c r="AP74" s="50">
        <f>NGT_TO!AP477</f>
        <v>0</v>
      </c>
      <c r="AQ74" s="50">
        <f>NGT_TO!AQ477</f>
        <v>0</v>
      </c>
      <c r="AR74" s="50">
        <f>NGT_TO!AR477</f>
        <v>0</v>
      </c>
      <c r="AS74" s="50">
        <f>NGT_TO!AS477</f>
        <v>0</v>
      </c>
      <c r="AT74" s="92">
        <f>NGT_TO!AT477</f>
        <v>0</v>
      </c>
      <c r="BA74" s="44" t="str">
        <f t="shared" ca="1" si="15"/>
        <v>Transform_TO</v>
      </c>
      <c r="BB74" s="44" t="str">
        <f t="shared" si="14"/>
        <v>Revenue drivers</v>
      </c>
    </row>
    <row r="75" spans="1:56">
      <c r="E75" s="43" t="s">
        <v>477</v>
      </c>
      <c r="G75" s="43" t="str">
        <f t="shared" si="13"/>
        <v>£m 23/24 prices</v>
      </c>
      <c r="H75" s="150"/>
      <c r="J75" s="43" t="s">
        <v>10</v>
      </c>
      <c r="AG75"/>
      <c r="AH75" s="50">
        <f>NGT_TO!AH478</f>
        <v>0</v>
      </c>
      <c r="AI75" s="50">
        <f>NGT_TO!AI478</f>
        <v>0</v>
      </c>
      <c r="AJ75" s="50">
        <f>NGT_TO!AJ478</f>
        <v>0</v>
      </c>
      <c r="AK75" s="50">
        <f>NGT_TO!AK478</f>
        <v>0</v>
      </c>
      <c r="AL75" s="50">
        <f>NGT_TO!AL478</f>
        <v>0</v>
      </c>
      <c r="AM75" s="50">
        <f>NGT_TO!AM478</f>
        <v>0</v>
      </c>
      <c r="AN75" s="50">
        <f>NGT_TO!AN478</f>
        <v>0</v>
      </c>
      <c r="AO75" s="50">
        <f>NGT_TO!AO478</f>
        <v>0</v>
      </c>
      <c r="AP75" s="50">
        <f>NGT_TO!AP478</f>
        <v>0</v>
      </c>
      <c r="AQ75" s="50">
        <f>NGT_TO!AQ478</f>
        <v>0</v>
      </c>
      <c r="AR75" s="50">
        <f>NGT_TO!AR478</f>
        <v>0</v>
      </c>
      <c r="AS75" s="50">
        <f>NGT_TO!AS478</f>
        <v>0</v>
      </c>
      <c r="AT75" s="92">
        <f>NGT_TO!AT478</f>
        <v>0</v>
      </c>
      <c r="BA75" s="44" t="str">
        <f t="shared" ca="1" si="15"/>
        <v>Transform_TO</v>
      </c>
      <c r="BB75" s="44" t="str">
        <f t="shared" si="14"/>
        <v>Revenue drivers</v>
      </c>
    </row>
    <row r="76" spans="1:56">
      <c r="E76" s="43" t="s">
        <v>479</v>
      </c>
      <c r="G76" s="43" t="str">
        <f t="shared" si="13"/>
        <v>£m 23/24 prices</v>
      </c>
      <c r="H76" s="150"/>
      <c r="J76" s="43" t="s">
        <v>10</v>
      </c>
      <c r="AG76"/>
      <c r="AH76" s="50">
        <f>NGT_TO!AH479</f>
        <v>-218.21959731529449</v>
      </c>
      <c r="AI76" s="50">
        <f>NGT_TO!AI479</f>
        <v>0</v>
      </c>
      <c r="AJ76" s="50">
        <f>NGT_TO!AJ479</f>
        <v>0</v>
      </c>
      <c r="AK76" s="50">
        <f>NGT_TO!AK479</f>
        <v>0</v>
      </c>
      <c r="AL76" s="50">
        <f>NGT_TO!AL479</f>
        <v>0</v>
      </c>
      <c r="AM76" s="50">
        <f>NGT_TO!AM479</f>
        <v>0</v>
      </c>
      <c r="AN76" s="50">
        <f>NGT_TO!AN479</f>
        <v>0</v>
      </c>
      <c r="AO76" s="50">
        <f>NGT_TO!AO479</f>
        <v>0</v>
      </c>
      <c r="AP76" s="50">
        <f>NGT_TO!AP479</f>
        <v>0</v>
      </c>
      <c r="AQ76" s="50">
        <f>NGT_TO!AQ479</f>
        <v>0</v>
      </c>
      <c r="AR76" s="50">
        <f>NGT_TO!AR479</f>
        <v>0</v>
      </c>
      <c r="AS76" s="50">
        <f>NGT_TO!AS479</f>
        <v>0</v>
      </c>
      <c r="AT76" s="92">
        <f>NGT_TO!AT479</f>
        <v>0</v>
      </c>
      <c r="BA76" s="44" t="str">
        <f t="shared" ca="1" si="15"/>
        <v>Transform_TO</v>
      </c>
      <c r="BB76" s="44" t="str">
        <f t="shared" si="14"/>
        <v>Revenue drivers</v>
      </c>
    </row>
    <row r="77" spans="1:56">
      <c r="E77" s="43" t="s">
        <v>481</v>
      </c>
      <c r="G77" s="43" t="str">
        <f t="shared" si="13"/>
        <v>£m 23/24 prices</v>
      </c>
      <c r="H77" s="150"/>
      <c r="J77" s="43" t="s">
        <v>10</v>
      </c>
      <c r="AG77"/>
      <c r="AH77" s="50">
        <f>NGT_TO!AH480</f>
        <v>-81.29206648880934</v>
      </c>
      <c r="AI77" s="50">
        <f>NGT_TO!AI480</f>
        <v>0</v>
      </c>
      <c r="AJ77" s="50">
        <f>NGT_TO!AJ480</f>
        <v>0</v>
      </c>
      <c r="AK77" s="50">
        <f>NGT_TO!AK480</f>
        <v>0</v>
      </c>
      <c r="AL77" s="50">
        <f>NGT_TO!AL480</f>
        <v>0</v>
      </c>
      <c r="AM77" s="50">
        <f>NGT_TO!AM480</f>
        <v>0</v>
      </c>
      <c r="AN77" s="50">
        <f>NGT_TO!AN480</f>
        <v>0</v>
      </c>
      <c r="AO77" s="50">
        <f>NGT_TO!AO480</f>
        <v>0</v>
      </c>
      <c r="AP77" s="50">
        <f>NGT_TO!AP480</f>
        <v>0</v>
      </c>
      <c r="AQ77" s="50">
        <f>NGT_TO!AQ480</f>
        <v>0</v>
      </c>
      <c r="AR77" s="50">
        <f>NGT_TO!AR480</f>
        <v>0</v>
      </c>
      <c r="AS77" s="50">
        <f>NGT_TO!AS480</f>
        <v>0</v>
      </c>
      <c r="AT77" s="92">
        <f>NGT_TO!AT480</f>
        <v>0</v>
      </c>
      <c r="BA77" s="44" t="str">
        <f t="shared" ca="1" si="15"/>
        <v>Transform_TO</v>
      </c>
      <c r="BB77" s="44" t="str">
        <f t="shared" si="14"/>
        <v>Revenue drivers</v>
      </c>
    </row>
    <row r="78" spans="1:56">
      <c r="E78" s="43" t="s">
        <v>483</v>
      </c>
      <c r="G78" s="43" t="str">
        <f t="shared" si="13"/>
        <v>£m 23/24 prices</v>
      </c>
      <c r="H78" s="150"/>
      <c r="J78" s="43" t="s">
        <v>10</v>
      </c>
      <c r="AG78"/>
      <c r="AH78" s="50">
        <f>NGT_TO!AH481</f>
        <v>0</v>
      </c>
      <c r="AI78" s="50">
        <f>NGT_TO!AI481</f>
        <v>0</v>
      </c>
      <c r="AJ78" s="50">
        <f>NGT_TO!AJ481</f>
        <v>0</v>
      </c>
      <c r="AK78" s="50">
        <f>NGT_TO!AK481</f>
        <v>0</v>
      </c>
      <c r="AL78" s="50">
        <f>NGT_TO!AL481</f>
        <v>0</v>
      </c>
      <c r="AM78" s="50">
        <f>NGT_TO!AM481</f>
        <v>0</v>
      </c>
      <c r="AN78" s="50">
        <f>NGT_TO!AN481</f>
        <v>0</v>
      </c>
      <c r="AO78" s="50">
        <f>NGT_TO!AO481</f>
        <v>0</v>
      </c>
      <c r="AP78" s="50">
        <f>NGT_TO!AP481</f>
        <v>0</v>
      </c>
      <c r="AQ78" s="50">
        <f>NGT_TO!AQ481</f>
        <v>0</v>
      </c>
      <c r="AR78" s="50">
        <f>NGT_TO!AR481</f>
        <v>0</v>
      </c>
      <c r="AS78" s="50">
        <f>NGT_TO!AS481</f>
        <v>0</v>
      </c>
      <c r="AT78" s="92">
        <f>NGT_TO!AT481</f>
        <v>0</v>
      </c>
      <c r="BA78" s="44" t="str">
        <f t="shared" ca="1" si="15"/>
        <v>Transform_TO</v>
      </c>
      <c r="BB78" s="44" t="str">
        <f t="shared" si="14"/>
        <v>Revenue drivers</v>
      </c>
    </row>
    <row r="79" spans="1:56">
      <c r="E79" s="43" t="s">
        <v>485</v>
      </c>
      <c r="G79" s="43" t="str">
        <f t="shared" si="13"/>
        <v>£m 23/24 prices</v>
      </c>
      <c r="H79" s="150"/>
      <c r="J79" s="43" t="s">
        <v>10</v>
      </c>
      <c r="AG79"/>
      <c r="AH79" s="50">
        <f>NGT_TO!AH482</f>
        <v>0</v>
      </c>
      <c r="AI79" s="50">
        <f>NGT_TO!AI482</f>
        <v>0</v>
      </c>
      <c r="AJ79" s="50">
        <f>NGT_TO!AJ482</f>
        <v>0</v>
      </c>
      <c r="AK79" s="50">
        <f>NGT_TO!AK482</f>
        <v>0</v>
      </c>
      <c r="AL79" s="50">
        <f>NGT_TO!AL482</f>
        <v>0</v>
      </c>
      <c r="AM79" s="50">
        <f>NGT_TO!AM482</f>
        <v>0</v>
      </c>
      <c r="AN79" s="50">
        <f>NGT_TO!AN482</f>
        <v>0</v>
      </c>
      <c r="AO79" s="50">
        <f>NGT_TO!AO482</f>
        <v>0</v>
      </c>
      <c r="AP79" s="50">
        <f>NGT_TO!AP482</f>
        <v>0</v>
      </c>
      <c r="AQ79" s="50">
        <f>NGT_TO!AQ482</f>
        <v>0</v>
      </c>
      <c r="AR79" s="50">
        <f>NGT_TO!AR482</f>
        <v>0</v>
      </c>
      <c r="AS79" s="50">
        <f>NGT_TO!AS482</f>
        <v>0</v>
      </c>
      <c r="AT79" s="92">
        <f>NGT_TO!AT482</f>
        <v>0</v>
      </c>
      <c r="BA79" s="44" t="str">
        <f t="shared" ca="1" si="15"/>
        <v>Transform_TO</v>
      </c>
      <c r="BB79" s="44" t="str">
        <f t="shared" si="14"/>
        <v>Revenue drivers</v>
      </c>
    </row>
    <row r="80" spans="1:56">
      <c r="E80" s="43" t="s">
        <v>487</v>
      </c>
      <c r="G80" s="43" t="str">
        <f t="shared" si="13"/>
        <v>£m 23/24 prices</v>
      </c>
      <c r="H80" s="150"/>
      <c r="J80" s="43" t="s">
        <v>10</v>
      </c>
      <c r="AG80"/>
      <c r="AH80" s="50">
        <f>NGT_TO!AH483</f>
        <v>-136.0344583461081</v>
      </c>
      <c r="AI80" s="50">
        <f>NGT_TO!AI483</f>
        <v>-1.3426495455033824</v>
      </c>
      <c r="AJ80" s="50">
        <f>NGT_TO!AJ483</f>
        <v>0</v>
      </c>
      <c r="AK80" s="50">
        <f>NGT_TO!AK483</f>
        <v>0</v>
      </c>
      <c r="AL80" s="50">
        <f>NGT_TO!AL483</f>
        <v>0</v>
      </c>
      <c r="AM80" s="50">
        <f>NGT_TO!AM483</f>
        <v>0</v>
      </c>
      <c r="AN80" s="50">
        <f>NGT_TO!AN483</f>
        <v>0</v>
      </c>
      <c r="AO80" s="50">
        <f>NGT_TO!AO483</f>
        <v>0</v>
      </c>
      <c r="AP80" s="50">
        <f>NGT_TO!AP483</f>
        <v>0</v>
      </c>
      <c r="AQ80" s="50">
        <f>NGT_TO!AQ483</f>
        <v>0</v>
      </c>
      <c r="AR80" s="50">
        <f>NGT_TO!AR483</f>
        <v>0</v>
      </c>
      <c r="AS80" s="50">
        <f>NGT_TO!AS483</f>
        <v>0</v>
      </c>
      <c r="AT80" s="92">
        <f>NGT_TO!AT483</f>
        <v>0</v>
      </c>
      <c r="BA80" s="44" t="str">
        <f t="shared" ca="1" si="15"/>
        <v>Transform_TO</v>
      </c>
      <c r="BB80" s="44" t="str">
        <f t="shared" si="14"/>
        <v>Revenue drivers</v>
      </c>
    </row>
    <row r="81" spans="5:54">
      <c r="E81" s="43" t="s">
        <v>489</v>
      </c>
      <c r="G81" s="43" t="str">
        <f t="shared" si="13"/>
        <v>£m 23/24 prices</v>
      </c>
      <c r="H81" s="150"/>
      <c r="J81" s="43" t="s">
        <v>10</v>
      </c>
      <c r="AG81"/>
      <c r="AH81" s="50">
        <f>NGT_TO!AH484</f>
        <v>0</v>
      </c>
      <c r="AI81" s="50">
        <f>NGT_TO!AI484</f>
        <v>-1.2557319619708207</v>
      </c>
      <c r="AJ81" s="50">
        <f>NGT_TO!AJ484</f>
        <v>-3.1677824938845429</v>
      </c>
      <c r="AK81" s="50">
        <f>NGT_TO!AK484</f>
        <v>-3.1964929562872912</v>
      </c>
      <c r="AL81" s="50">
        <f>NGT_TO!AL484</f>
        <v>-3.2254636293114984</v>
      </c>
      <c r="AM81" s="50">
        <f>NGT_TO!AM484</f>
        <v>-22.782878099210741</v>
      </c>
      <c r="AN81" s="50">
        <f>NGT_TO!AN484</f>
        <v>-30.214594570706808</v>
      </c>
      <c r="AO81" s="50">
        <f>NGT_TO!AO484</f>
        <v>-1.3255842411061352</v>
      </c>
      <c r="AP81" s="50">
        <f>NGT_TO!AP484</f>
        <v>0</v>
      </c>
      <c r="AQ81" s="50">
        <f>NGT_TO!AQ484</f>
        <v>0</v>
      </c>
      <c r="AR81" s="50">
        <f>NGT_TO!AR484</f>
        <v>0</v>
      </c>
      <c r="AS81" s="50">
        <f>NGT_TO!AS484</f>
        <v>0</v>
      </c>
      <c r="AT81" s="92">
        <f>NGT_TO!AT484</f>
        <v>0</v>
      </c>
      <c r="BA81" s="44" t="str">
        <f t="shared" ca="1" si="15"/>
        <v>Transform_TO</v>
      </c>
      <c r="BB81" s="44" t="str">
        <f t="shared" si="14"/>
        <v>Revenue drivers</v>
      </c>
    </row>
    <row r="82" spans="5:54">
      <c r="E82" s="43" t="s">
        <v>491</v>
      </c>
      <c r="G82" s="43" t="str">
        <f t="shared" si="13"/>
        <v>£m 23/24 prices</v>
      </c>
      <c r="H82" s="150"/>
      <c r="J82" s="43" t="s">
        <v>10</v>
      </c>
      <c r="AG82"/>
      <c r="AH82" s="50">
        <f>NGT_TO!AH485</f>
        <v>0</v>
      </c>
      <c r="AI82" s="50">
        <f>NGT_TO!AI485</f>
        <v>0</v>
      </c>
      <c r="AJ82" s="50">
        <f>NGT_TO!AJ485</f>
        <v>0</v>
      </c>
      <c r="AK82" s="50">
        <f>NGT_TO!AK485</f>
        <v>-23.087375095468474</v>
      </c>
      <c r="AL82" s="50">
        <f>NGT_TO!AL485</f>
        <v>0</v>
      </c>
      <c r="AM82" s="50">
        <f>NGT_TO!AM485</f>
        <v>0</v>
      </c>
      <c r="AN82" s="50">
        <f>NGT_TO!AN485</f>
        <v>0</v>
      </c>
      <c r="AO82" s="50">
        <f>NGT_TO!AO485</f>
        <v>0</v>
      </c>
      <c r="AP82" s="50">
        <f>NGT_TO!AP485</f>
        <v>0</v>
      </c>
      <c r="AQ82" s="50">
        <f>NGT_TO!AQ485</f>
        <v>0</v>
      </c>
      <c r="AR82" s="50">
        <f>NGT_TO!AR485</f>
        <v>0</v>
      </c>
      <c r="AS82" s="50">
        <f>NGT_TO!AS485</f>
        <v>0</v>
      </c>
      <c r="AT82" s="92">
        <f>NGT_TO!AT485</f>
        <v>0</v>
      </c>
      <c r="BA82" s="44" t="str">
        <f t="shared" ca="1" si="15"/>
        <v>Transform_TO</v>
      </c>
      <c r="BB82" s="44" t="str">
        <f t="shared" si="14"/>
        <v>Revenue drivers</v>
      </c>
    </row>
    <row r="83" spans="5:54">
      <c r="E83" s="43" t="s">
        <v>493</v>
      </c>
      <c r="G83" s="43" t="str">
        <f t="shared" si="13"/>
        <v>£m 23/24 prices</v>
      </c>
      <c r="H83" s="150"/>
      <c r="J83" s="43" t="s">
        <v>10</v>
      </c>
      <c r="AG83"/>
      <c r="AH83" s="53">
        <f t="shared" ref="AH83:AT83" si="16">SUM(AH69:AH82)</f>
        <v>-435.54612215021189</v>
      </c>
      <c r="AI83" s="53">
        <f t="shared" si="16"/>
        <v>-2.5983815074742029</v>
      </c>
      <c r="AJ83" s="53">
        <f t="shared" si="16"/>
        <v>-3.1677824938845429</v>
      </c>
      <c r="AK83" s="53">
        <f t="shared" si="16"/>
        <v>-26.283868051755764</v>
      </c>
      <c r="AL83" s="53">
        <f t="shared" si="16"/>
        <v>-512.0697713532461</v>
      </c>
      <c r="AM83" s="53">
        <f t="shared" si="16"/>
        <v>-22.782878099210741</v>
      </c>
      <c r="AN83" s="53">
        <f t="shared" si="16"/>
        <v>-30.214594570706808</v>
      </c>
      <c r="AO83" s="53">
        <f t="shared" si="16"/>
        <v>-1.3255842411061352</v>
      </c>
      <c r="AP83" s="53">
        <f t="shared" si="16"/>
        <v>0</v>
      </c>
      <c r="AQ83" s="53">
        <f t="shared" si="16"/>
        <v>0</v>
      </c>
      <c r="AR83" s="53">
        <f t="shared" si="16"/>
        <v>0</v>
      </c>
      <c r="AS83" s="53">
        <f t="shared" si="16"/>
        <v>0</v>
      </c>
      <c r="AT83" s="194">
        <f t="shared" si="16"/>
        <v>0</v>
      </c>
      <c r="BA83" s="44" t="str">
        <f t="shared" ca="1" si="15"/>
        <v>Transform_TO</v>
      </c>
      <c r="BB83" s="44" t="str">
        <f t="shared" si="14"/>
        <v>Revenue drivers</v>
      </c>
    </row>
    <row r="84" spans="5:54">
      <c r="H84" s="150"/>
      <c r="AG84"/>
      <c r="BA84" s="44"/>
    </row>
    <row r="85" spans="5:54">
      <c r="E85" s="43" t="s">
        <v>466</v>
      </c>
      <c r="G85" s="43" t="str">
        <f t="shared" ref="G85:G99" si="17">price_label</f>
        <v>£m 23/24 prices</v>
      </c>
      <c r="H85" s="150"/>
      <c r="J85" s="43" t="s">
        <v>10</v>
      </c>
      <c r="AG85"/>
      <c r="AH85" s="50">
        <f>NGT_TO!AH487</f>
        <v>0</v>
      </c>
      <c r="AI85" s="50">
        <f>NGT_TO!AI487</f>
        <v>0</v>
      </c>
      <c r="AJ85" s="50">
        <f>NGT_TO!AJ487</f>
        <v>0</v>
      </c>
      <c r="AK85" s="50">
        <f>NGT_TO!AK487</f>
        <v>0</v>
      </c>
      <c r="AL85" s="50">
        <f>NGT_TO!AL487</f>
        <v>-19.080037628953679</v>
      </c>
      <c r="AM85" s="50">
        <f>NGT_TO!AM487</f>
        <v>0</v>
      </c>
      <c r="AN85" s="50">
        <f>NGT_TO!AN487</f>
        <v>0</v>
      </c>
      <c r="AO85" s="50">
        <f>NGT_TO!AO487</f>
        <v>0</v>
      </c>
      <c r="AP85" s="50">
        <f>NGT_TO!AP487</f>
        <v>0</v>
      </c>
      <c r="AQ85" s="50">
        <f>NGT_TO!AQ487</f>
        <v>0</v>
      </c>
      <c r="AR85" s="50">
        <f>NGT_TO!AR487</f>
        <v>0</v>
      </c>
      <c r="AS85" s="50">
        <f>NGT_TO!AS487</f>
        <v>0</v>
      </c>
      <c r="AT85" s="92">
        <f>NGT_TO!AT487</f>
        <v>0</v>
      </c>
      <c r="BA85" s="44" t="str">
        <f t="shared" ref="BA85:BA99" ca="1" si="18">$A$1</f>
        <v>Transform_TO</v>
      </c>
      <c r="BB85" s="44" t="str">
        <f t="shared" ref="BB85:BB99" si="19">$A$68</f>
        <v>Revenue drivers</v>
      </c>
    </row>
    <row r="86" spans="5:54">
      <c r="E86" s="43" t="s">
        <v>468</v>
      </c>
      <c r="G86" s="43" t="str">
        <f t="shared" si="17"/>
        <v>£m 23/24 prices</v>
      </c>
      <c r="H86" s="150"/>
      <c r="J86" s="43" t="s">
        <v>10</v>
      </c>
      <c r="AG86"/>
      <c r="AH86" s="50">
        <f>NGT_TO!AH488</f>
        <v>0</v>
      </c>
      <c r="AI86" s="50">
        <f>NGT_TO!AI488</f>
        <v>0</v>
      </c>
      <c r="AJ86" s="50">
        <f>NGT_TO!AJ488</f>
        <v>0</v>
      </c>
      <c r="AK86" s="50">
        <f>NGT_TO!AK488</f>
        <v>0</v>
      </c>
      <c r="AL86" s="50">
        <f>NGT_TO!AL488</f>
        <v>-4.5561437756625622</v>
      </c>
      <c r="AM86" s="50">
        <f>NGT_TO!AM488</f>
        <v>0</v>
      </c>
      <c r="AN86" s="50">
        <f>NGT_TO!AN488</f>
        <v>0</v>
      </c>
      <c r="AO86" s="50">
        <f>NGT_TO!AO488</f>
        <v>0</v>
      </c>
      <c r="AP86" s="50">
        <f>NGT_TO!AP488</f>
        <v>0</v>
      </c>
      <c r="AQ86" s="50">
        <f>NGT_TO!AQ488</f>
        <v>0</v>
      </c>
      <c r="AR86" s="50">
        <f>NGT_TO!AR488</f>
        <v>0</v>
      </c>
      <c r="AS86" s="50">
        <f>NGT_TO!AS488</f>
        <v>0</v>
      </c>
      <c r="AT86" s="92">
        <f>NGT_TO!AT488</f>
        <v>0</v>
      </c>
      <c r="BA86" s="44" t="str">
        <f t="shared" ca="1" si="18"/>
        <v>Transform_TO</v>
      </c>
      <c r="BB86" s="44" t="str">
        <f t="shared" si="19"/>
        <v>Revenue drivers</v>
      </c>
    </row>
    <row r="87" spans="5:54">
      <c r="E87" s="43" t="s">
        <v>470</v>
      </c>
      <c r="G87" s="43" t="str">
        <f t="shared" si="17"/>
        <v>£m 23/24 prices</v>
      </c>
      <c r="H87" s="150"/>
      <c r="J87" s="43" t="s">
        <v>10</v>
      </c>
      <c r="AG87"/>
      <c r="AH87" s="50">
        <f>NGT_TO!AH489</f>
        <v>0</v>
      </c>
      <c r="AI87" s="50">
        <f>NGT_TO!AI489</f>
        <v>0</v>
      </c>
      <c r="AJ87" s="50">
        <f>NGT_TO!AJ489</f>
        <v>0</v>
      </c>
      <c r="AK87" s="50">
        <f>NGT_TO!AK489</f>
        <v>0</v>
      </c>
      <c r="AL87" s="50">
        <f>NGT_TO!AL489</f>
        <v>-3.4527021371933446</v>
      </c>
      <c r="AM87" s="50">
        <f>NGT_TO!AM489</f>
        <v>0</v>
      </c>
      <c r="AN87" s="50">
        <f>NGT_TO!AN489</f>
        <v>0</v>
      </c>
      <c r="AO87" s="50">
        <f>NGT_TO!AO489</f>
        <v>0</v>
      </c>
      <c r="AP87" s="50">
        <f>NGT_TO!AP489</f>
        <v>0</v>
      </c>
      <c r="AQ87" s="50">
        <f>NGT_TO!AQ489</f>
        <v>0</v>
      </c>
      <c r="AR87" s="50">
        <f>NGT_TO!AR489</f>
        <v>0</v>
      </c>
      <c r="AS87" s="50">
        <f>NGT_TO!AS489</f>
        <v>0</v>
      </c>
      <c r="AT87" s="92">
        <f>NGT_TO!AT489</f>
        <v>0</v>
      </c>
      <c r="BA87" s="44" t="str">
        <f t="shared" ca="1" si="18"/>
        <v>Transform_TO</v>
      </c>
      <c r="BB87" s="44" t="str">
        <f t="shared" si="19"/>
        <v>Revenue drivers</v>
      </c>
    </row>
    <row r="88" spans="5:54">
      <c r="E88" s="43" t="s">
        <v>472</v>
      </c>
      <c r="G88" s="43" t="str">
        <f t="shared" si="17"/>
        <v>£m 23/24 prices</v>
      </c>
      <c r="H88" s="150"/>
      <c r="J88" s="43" t="s">
        <v>10</v>
      </c>
      <c r="AG88"/>
      <c r="AH88" s="50">
        <f>NGT_TO!AH490</f>
        <v>0</v>
      </c>
      <c r="AI88" s="50">
        <f>NGT_TO!AI490</f>
        <v>0</v>
      </c>
      <c r="AJ88" s="50">
        <f>NGT_TO!AJ490</f>
        <v>0</v>
      </c>
      <c r="AK88" s="50">
        <f>NGT_TO!AK490</f>
        <v>0</v>
      </c>
      <c r="AL88" s="50">
        <f>NGT_TO!AL490</f>
        <v>-59.18775188094623</v>
      </c>
      <c r="AM88" s="50">
        <f>NGT_TO!AM490</f>
        <v>0</v>
      </c>
      <c r="AN88" s="50">
        <f>NGT_TO!AN490</f>
        <v>0</v>
      </c>
      <c r="AO88" s="50">
        <f>NGT_TO!AO490</f>
        <v>0</v>
      </c>
      <c r="AP88" s="50">
        <f>NGT_TO!AP490</f>
        <v>0</v>
      </c>
      <c r="AQ88" s="50">
        <f>NGT_TO!AQ490</f>
        <v>0</v>
      </c>
      <c r="AR88" s="50">
        <f>NGT_TO!AR490</f>
        <v>0</v>
      </c>
      <c r="AS88" s="50">
        <f>NGT_TO!AS490</f>
        <v>0</v>
      </c>
      <c r="AT88" s="92">
        <f>NGT_TO!AT490</f>
        <v>0</v>
      </c>
      <c r="BA88" s="44" t="str">
        <f t="shared" ca="1" si="18"/>
        <v>Transform_TO</v>
      </c>
      <c r="BB88" s="44" t="str">
        <f t="shared" si="19"/>
        <v>Revenue drivers</v>
      </c>
    </row>
    <row r="89" spans="5:54">
      <c r="E89" s="43" t="s">
        <v>474</v>
      </c>
      <c r="G89" s="43" t="str">
        <f t="shared" si="17"/>
        <v>£m 23/24 prices</v>
      </c>
      <c r="H89" s="150"/>
      <c r="J89" s="43" t="s">
        <v>10</v>
      </c>
      <c r="AG89"/>
      <c r="AH89" s="50">
        <f>NGT_TO!AH491</f>
        <v>0</v>
      </c>
      <c r="AI89" s="50">
        <f>NGT_TO!AI491</f>
        <v>0</v>
      </c>
      <c r="AJ89" s="50">
        <f>NGT_TO!AJ491</f>
        <v>0</v>
      </c>
      <c r="AK89" s="50">
        <f>NGT_TO!AK491</f>
        <v>0</v>
      </c>
      <c r="AL89" s="50">
        <f>NGT_TO!AL491</f>
        <v>-0.23555108514926648</v>
      </c>
      <c r="AM89" s="50">
        <f>NGT_TO!AM491</f>
        <v>0</v>
      </c>
      <c r="AN89" s="50">
        <f>NGT_TO!AN491</f>
        <v>0</v>
      </c>
      <c r="AO89" s="50">
        <f>NGT_TO!AO491</f>
        <v>0</v>
      </c>
      <c r="AP89" s="50">
        <f>NGT_TO!AP491</f>
        <v>0</v>
      </c>
      <c r="AQ89" s="50">
        <f>NGT_TO!AQ491</f>
        <v>0</v>
      </c>
      <c r="AR89" s="50">
        <f>NGT_TO!AR491</f>
        <v>0</v>
      </c>
      <c r="AS89" s="50">
        <f>NGT_TO!AS491</f>
        <v>0</v>
      </c>
      <c r="AT89" s="92">
        <f>NGT_TO!AT491</f>
        <v>0</v>
      </c>
      <c r="BA89" s="44" t="str">
        <f t="shared" ca="1" si="18"/>
        <v>Transform_TO</v>
      </c>
      <c r="BB89" s="44" t="str">
        <f t="shared" si="19"/>
        <v>Revenue drivers</v>
      </c>
    </row>
    <row r="90" spans="5:54">
      <c r="E90" s="43" t="s">
        <v>476</v>
      </c>
      <c r="G90" s="43" t="str">
        <f t="shared" si="17"/>
        <v>£m 23/24 prices</v>
      </c>
      <c r="H90" s="150"/>
      <c r="J90" s="43" t="s">
        <v>10</v>
      </c>
      <c r="AG90"/>
      <c r="AH90" s="50">
        <f>NGT_TO!AH492</f>
        <v>0</v>
      </c>
      <c r="AI90" s="50">
        <f>NGT_TO!AI492</f>
        <v>0</v>
      </c>
      <c r="AJ90" s="50">
        <f>NGT_TO!AJ492</f>
        <v>0</v>
      </c>
      <c r="AK90" s="50">
        <f>NGT_TO!AK492</f>
        <v>0</v>
      </c>
      <c r="AL90" s="50">
        <f>NGT_TO!AL492</f>
        <v>0</v>
      </c>
      <c r="AM90" s="50">
        <f>NGT_TO!AM492</f>
        <v>0</v>
      </c>
      <c r="AN90" s="50">
        <f>NGT_TO!AN492</f>
        <v>0</v>
      </c>
      <c r="AO90" s="50">
        <f>NGT_TO!AO492</f>
        <v>0</v>
      </c>
      <c r="AP90" s="50">
        <f>NGT_TO!AP492</f>
        <v>0</v>
      </c>
      <c r="AQ90" s="50">
        <f>NGT_TO!AQ492</f>
        <v>0</v>
      </c>
      <c r="AR90" s="50">
        <f>NGT_TO!AR492</f>
        <v>0</v>
      </c>
      <c r="AS90" s="50">
        <f>NGT_TO!AS492</f>
        <v>0</v>
      </c>
      <c r="AT90" s="92">
        <f>NGT_TO!AT492</f>
        <v>0</v>
      </c>
      <c r="BA90" s="44" t="str">
        <f t="shared" ca="1" si="18"/>
        <v>Transform_TO</v>
      </c>
      <c r="BB90" s="44" t="str">
        <f t="shared" si="19"/>
        <v>Revenue drivers</v>
      </c>
    </row>
    <row r="91" spans="5:54">
      <c r="E91" s="43" t="s">
        <v>478</v>
      </c>
      <c r="G91" s="43" t="str">
        <f t="shared" si="17"/>
        <v>£m 23/24 prices</v>
      </c>
      <c r="H91" s="150"/>
      <c r="J91" s="43" t="s">
        <v>10</v>
      </c>
      <c r="AG91"/>
      <c r="AH91" s="50">
        <f>NGT_TO!AH493</f>
        <v>0</v>
      </c>
      <c r="AI91" s="50">
        <f>NGT_TO!AI493</f>
        <v>0</v>
      </c>
      <c r="AJ91" s="50">
        <f>NGT_TO!AJ493</f>
        <v>0</v>
      </c>
      <c r="AK91" s="50">
        <f>NGT_TO!AK493</f>
        <v>0</v>
      </c>
      <c r="AL91" s="50">
        <f>NGT_TO!AL493</f>
        <v>0</v>
      </c>
      <c r="AM91" s="50">
        <f>NGT_TO!AM493</f>
        <v>0</v>
      </c>
      <c r="AN91" s="50">
        <f>NGT_TO!AN493</f>
        <v>0</v>
      </c>
      <c r="AO91" s="50">
        <f>NGT_TO!AO493</f>
        <v>0</v>
      </c>
      <c r="AP91" s="50">
        <f>NGT_TO!AP493</f>
        <v>0</v>
      </c>
      <c r="AQ91" s="50">
        <f>NGT_TO!AQ493</f>
        <v>0</v>
      </c>
      <c r="AR91" s="50">
        <f>NGT_TO!AR493</f>
        <v>0</v>
      </c>
      <c r="AS91" s="50">
        <f>NGT_TO!AS493</f>
        <v>0</v>
      </c>
      <c r="AT91" s="92">
        <f>NGT_TO!AT493</f>
        <v>0</v>
      </c>
      <c r="BA91" s="44" t="str">
        <f t="shared" ca="1" si="18"/>
        <v>Transform_TO</v>
      </c>
      <c r="BB91" s="44" t="str">
        <f t="shared" si="19"/>
        <v>Revenue drivers</v>
      </c>
    </row>
    <row r="92" spans="5:54">
      <c r="E92" s="43" t="s">
        <v>480</v>
      </c>
      <c r="G92" s="43" t="str">
        <f t="shared" si="17"/>
        <v>£m 23/24 prices</v>
      </c>
      <c r="H92" s="150"/>
      <c r="J92" s="43" t="s">
        <v>10</v>
      </c>
      <c r="AG92"/>
      <c r="AH92" s="50">
        <f>NGT_TO!AH494</f>
        <v>-27.709785294799591</v>
      </c>
      <c r="AI92" s="50">
        <f>NGT_TO!AI494</f>
        <v>0</v>
      </c>
      <c r="AJ92" s="50">
        <f>NGT_TO!AJ494</f>
        <v>0</v>
      </c>
      <c r="AK92" s="50">
        <f>NGT_TO!AK494</f>
        <v>0</v>
      </c>
      <c r="AL92" s="50">
        <f>NGT_TO!AL494</f>
        <v>0</v>
      </c>
      <c r="AM92" s="50">
        <f>NGT_TO!AM494</f>
        <v>0</v>
      </c>
      <c r="AN92" s="50">
        <f>NGT_TO!AN494</f>
        <v>0</v>
      </c>
      <c r="AO92" s="50">
        <f>NGT_TO!AO494</f>
        <v>0</v>
      </c>
      <c r="AP92" s="50">
        <f>NGT_TO!AP494</f>
        <v>0</v>
      </c>
      <c r="AQ92" s="50">
        <f>NGT_TO!AQ494</f>
        <v>0</v>
      </c>
      <c r="AR92" s="50">
        <f>NGT_TO!AR494</f>
        <v>0</v>
      </c>
      <c r="AS92" s="50">
        <f>NGT_TO!AS494</f>
        <v>0</v>
      </c>
      <c r="AT92" s="92">
        <f>NGT_TO!AT494</f>
        <v>0</v>
      </c>
      <c r="BA92" s="44" t="str">
        <f t="shared" ca="1" si="18"/>
        <v>Transform_TO</v>
      </c>
      <c r="BB92" s="44" t="str">
        <f t="shared" si="19"/>
        <v>Revenue drivers</v>
      </c>
    </row>
    <row r="93" spans="5:54">
      <c r="E93" s="43" t="s">
        <v>482</v>
      </c>
      <c r="G93" s="43" t="str">
        <f t="shared" si="17"/>
        <v>£m 23/24 prices</v>
      </c>
      <c r="H93" s="150"/>
      <c r="J93" s="43" t="s">
        <v>10</v>
      </c>
      <c r="AG93"/>
      <c r="AH93" s="50">
        <f>NGT_TO!AH495</f>
        <v>-8.1208523231955603</v>
      </c>
      <c r="AI93" s="50">
        <f>NGT_TO!AI495</f>
        <v>0</v>
      </c>
      <c r="AJ93" s="50">
        <f>NGT_TO!AJ495</f>
        <v>0</v>
      </c>
      <c r="AK93" s="50">
        <f>NGT_TO!AK495</f>
        <v>0</v>
      </c>
      <c r="AL93" s="50">
        <f>NGT_TO!AL495</f>
        <v>0</v>
      </c>
      <c r="AM93" s="50">
        <f>NGT_TO!AM495</f>
        <v>0</v>
      </c>
      <c r="AN93" s="50">
        <f>NGT_TO!AN495</f>
        <v>0</v>
      </c>
      <c r="AO93" s="50">
        <f>NGT_TO!AO495</f>
        <v>0</v>
      </c>
      <c r="AP93" s="50">
        <f>NGT_TO!AP495</f>
        <v>0</v>
      </c>
      <c r="AQ93" s="50">
        <f>NGT_TO!AQ495</f>
        <v>0</v>
      </c>
      <c r="AR93" s="50">
        <f>NGT_TO!AR495</f>
        <v>0</v>
      </c>
      <c r="AS93" s="50">
        <f>NGT_TO!AS495</f>
        <v>0</v>
      </c>
      <c r="AT93" s="92">
        <f>NGT_TO!AT495</f>
        <v>0</v>
      </c>
      <c r="BA93" s="44" t="str">
        <f t="shared" ca="1" si="18"/>
        <v>Transform_TO</v>
      </c>
      <c r="BB93" s="44" t="str">
        <f t="shared" si="19"/>
        <v>Revenue drivers</v>
      </c>
    </row>
    <row r="94" spans="5:54">
      <c r="E94" s="43" t="s">
        <v>484</v>
      </c>
      <c r="G94" s="43" t="str">
        <f t="shared" si="17"/>
        <v>£m 23/24 prices</v>
      </c>
      <c r="H94" s="150"/>
      <c r="J94" s="43" t="s">
        <v>10</v>
      </c>
      <c r="AG94"/>
      <c r="AH94" s="50">
        <f>NGT_TO!AH496</f>
        <v>0</v>
      </c>
      <c r="AI94" s="50">
        <f>NGT_TO!AI496</f>
        <v>0</v>
      </c>
      <c r="AJ94" s="50">
        <f>NGT_TO!AJ496</f>
        <v>0</v>
      </c>
      <c r="AK94" s="50">
        <f>NGT_TO!AK496</f>
        <v>0</v>
      </c>
      <c r="AL94" s="50">
        <f>NGT_TO!AL496</f>
        <v>0</v>
      </c>
      <c r="AM94" s="50">
        <f>NGT_TO!AM496</f>
        <v>0</v>
      </c>
      <c r="AN94" s="50">
        <f>NGT_TO!AN496</f>
        <v>0</v>
      </c>
      <c r="AO94" s="50">
        <f>NGT_TO!AO496</f>
        <v>0</v>
      </c>
      <c r="AP94" s="50">
        <f>NGT_TO!AP496</f>
        <v>0</v>
      </c>
      <c r="AQ94" s="50">
        <f>NGT_TO!AQ496</f>
        <v>0</v>
      </c>
      <c r="AR94" s="50">
        <f>NGT_TO!AR496</f>
        <v>0</v>
      </c>
      <c r="AS94" s="50">
        <f>NGT_TO!AS496</f>
        <v>0</v>
      </c>
      <c r="AT94" s="92">
        <f>NGT_TO!AT496</f>
        <v>0</v>
      </c>
      <c r="BA94" s="44" t="str">
        <f t="shared" ca="1" si="18"/>
        <v>Transform_TO</v>
      </c>
      <c r="BB94" s="44" t="str">
        <f t="shared" si="19"/>
        <v>Revenue drivers</v>
      </c>
    </row>
    <row r="95" spans="5:54">
      <c r="E95" s="43" t="s">
        <v>486</v>
      </c>
      <c r="G95" s="43" t="str">
        <f t="shared" si="17"/>
        <v>£m 23/24 prices</v>
      </c>
      <c r="H95" s="150"/>
      <c r="J95" s="43" t="s">
        <v>10</v>
      </c>
      <c r="AG95"/>
      <c r="AH95" s="50">
        <f>NGT_TO!AH497</f>
        <v>0</v>
      </c>
      <c r="AI95" s="50">
        <f>NGT_TO!AI497</f>
        <v>0</v>
      </c>
      <c r="AJ95" s="50">
        <f>NGT_TO!AJ497</f>
        <v>0</v>
      </c>
      <c r="AK95" s="50">
        <f>NGT_TO!AK497</f>
        <v>0</v>
      </c>
      <c r="AL95" s="50">
        <f>NGT_TO!AL497</f>
        <v>0</v>
      </c>
      <c r="AM95" s="50">
        <f>NGT_TO!AM497</f>
        <v>0</v>
      </c>
      <c r="AN95" s="50">
        <f>NGT_TO!AN497</f>
        <v>0</v>
      </c>
      <c r="AO95" s="50">
        <f>NGT_TO!AO497</f>
        <v>0</v>
      </c>
      <c r="AP95" s="50">
        <f>NGT_TO!AP497</f>
        <v>0</v>
      </c>
      <c r="AQ95" s="50">
        <f>NGT_TO!AQ497</f>
        <v>0</v>
      </c>
      <c r="AR95" s="50">
        <f>NGT_TO!AR497</f>
        <v>0</v>
      </c>
      <c r="AS95" s="50">
        <f>NGT_TO!AS497</f>
        <v>0</v>
      </c>
      <c r="AT95" s="92">
        <f>NGT_TO!AT497</f>
        <v>0</v>
      </c>
      <c r="BA95" s="44" t="str">
        <f t="shared" ca="1" si="18"/>
        <v>Transform_TO</v>
      </c>
      <c r="BB95" s="44" t="str">
        <f t="shared" si="19"/>
        <v>Revenue drivers</v>
      </c>
    </row>
    <row r="96" spans="5:54">
      <c r="E96" s="43" t="s">
        <v>488</v>
      </c>
      <c r="G96" s="43" t="str">
        <f t="shared" si="17"/>
        <v>£m 23/24 prices</v>
      </c>
      <c r="H96" s="150"/>
      <c r="J96" s="43" t="s">
        <v>10</v>
      </c>
      <c r="AG96"/>
      <c r="AH96" s="50">
        <f>NGT_TO!AH498</f>
        <v>-9.0363870843406886</v>
      </c>
      <c r="AI96" s="50">
        <f>NGT_TO!AI498</f>
        <v>0</v>
      </c>
      <c r="AJ96" s="50">
        <f>NGT_TO!AJ498</f>
        <v>0</v>
      </c>
      <c r="AK96" s="50">
        <f>NGT_TO!AK498</f>
        <v>0</v>
      </c>
      <c r="AL96" s="50">
        <f>NGT_TO!AL498</f>
        <v>0</v>
      </c>
      <c r="AM96" s="50">
        <f>NGT_TO!AM498</f>
        <v>0</v>
      </c>
      <c r="AN96" s="50">
        <f>NGT_TO!AN498</f>
        <v>0</v>
      </c>
      <c r="AO96" s="50">
        <f>NGT_TO!AO498</f>
        <v>0</v>
      </c>
      <c r="AP96" s="50">
        <f>NGT_TO!AP498</f>
        <v>0</v>
      </c>
      <c r="AQ96" s="50">
        <f>NGT_TO!AQ498</f>
        <v>0</v>
      </c>
      <c r="AR96" s="50">
        <f>NGT_TO!AR498</f>
        <v>0</v>
      </c>
      <c r="AS96" s="50">
        <f>NGT_TO!AS498</f>
        <v>0</v>
      </c>
      <c r="AT96" s="92">
        <f>NGT_TO!AT498</f>
        <v>0</v>
      </c>
      <c r="BA96" s="44" t="str">
        <f t="shared" ca="1" si="18"/>
        <v>Transform_TO</v>
      </c>
      <c r="BB96" s="44" t="str">
        <f t="shared" si="19"/>
        <v>Revenue drivers</v>
      </c>
    </row>
    <row r="97" spans="1:54">
      <c r="E97" s="43" t="s">
        <v>490</v>
      </c>
      <c r="G97" s="43" t="str">
        <f t="shared" si="17"/>
        <v>£m 23/24 prices</v>
      </c>
      <c r="H97" s="150"/>
      <c r="J97" s="43" t="s">
        <v>10</v>
      </c>
      <c r="AG97"/>
      <c r="AH97" s="50">
        <f>NGT_TO!AH499</f>
        <v>0</v>
      </c>
      <c r="AI97" s="50">
        <f>NGT_TO!AI499</f>
        <v>0</v>
      </c>
      <c r="AJ97" s="50">
        <f>NGT_TO!AJ499</f>
        <v>0</v>
      </c>
      <c r="AK97" s="50">
        <f>NGT_TO!AK499</f>
        <v>0</v>
      </c>
      <c r="AL97" s="50">
        <f>NGT_TO!AL499</f>
        <v>0</v>
      </c>
      <c r="AM97" s="50">
        <f>NGT_TO!AM499</f>
        <v>0</v>
      </c>
      <c r="AN97" s="50">
        <f>NGT_TO!AN499</f>
        <v>0</v>
      </c>
      <c r="AO97" s="50">
        <f>NGT_TO!AO499</f>
        <v>0</v>
      </c>
      <c r="AP97" s="50">
        <f>NGT_TO!AP499</f>
        <v>0</v>
      </c>
      <c r="AQ97" s="50">
        <f>NGT_TO!AQ499</f>
        <v>0</v>
      </c>
      <c r="AR97" s="50">
        <f>NGT_TO!AR499</f>
        <v>0</v>
      </c>
      <c r="AS97" s="50">
        <f>NGT_TO!AS499</f>
        <v>0</v>
      </c>
      <c r="AT97" s="92">
        <f>NGT_TO!AT499</f>
        <v>0</v>
      </c>
      <c r="BA97" s="44" t="str">
        <f t="shared" ca="1" si="18"/>
        <v>Transform_TO</v>
      </c>
      <c r="BB97" s="44" t="str">
        <f t="shared" si="19"/>
        <v>Revenue drivers</v>
      </c>
    </row>
    <row r="98" spans="1:54">
      <c r="E98" s="43" t="s">
        <v>492</v>
      </c>
      <c r="G98" s="43" t="str">
        <f t="shared" si="17"/>
        <v>£m 23/24 prices</v>
      </c>
      <c r="H98" s="150"/>
      <c r="J98" s="43" t="s">
        <v>10</v>
      </c>
      <c r="AG98"/>
      <c r="AH98" s="50">
        <f>NGT_TO!AH500</f>
        <v>0</v>
      </c>
      <c r="AI98" s="50">
        <f>NGT_TO!AI500</f>
        <v>0</v>
      </c>
      <c r="AJ98" s="50">
        <f>NGT_TO!AJ500</f>
        <v>0</v>
      </c>
      <c r="AK98" s="50">
        <f>NGT_TO!AK500</f>
        <v>-2.3195235851216847</v>
      </c>
      <c r="AL98" s="50">
        <f>NGT_TO!AL500</f>
        <v>0</v>
      </c>
      <c r="AM98" s="50">
        <f>NGT_TO!AM500</f>
        <v>0</v>
      </c>
      <c r="AN98" s="50">
        <f>NGT_TO!AN500</f>
        <v>0</v>
      </c>
      <c r="AO98" s="50">
        <f>NGT_TO!AO500</f>
        <v>0</v>
      </c>
      <c r="AP98" s="50">
        <f>NGT_TO!AP500</f>
        <v>0</v>
      </c>
      <c r="AQ98" s="50">
        <f>NGT_TO!AQ500</f>
        <v>0</v>
      </c>
      <c r="AR98" s="50">
        <f>NGT_TO!AR500</f>
        <v>0</v>
      </c>
      <c r="AS98" s="50">
        <f>NGT_TO!AS500</f>
        <v>0</v>
      </c>
      <c r="AT98" s="92">
        <f>NGT_TO!AT500</f>
        <v>0</v>
      </c>
      <c r="BA98" s="44" t="str">
        <f t="shared" ca="1" si="18"/>
        <v>Transform_TO</v>
      </c>
      <c r="BB98" s="44" t="str">
        <f t="shared" si="19"/>
        <v>Revenue drivers</v>
      </c>
    </row>
    <row r="99" spans="1:54">
      <c r="E99" s="43" t="s">
        <v>494</v>
      </c>
      <c r="G99" s="43" t="str">
        <f t="shared" si="17"/>
        <v>£m 23/24 prices</v>
      </c>
      <c r="H99" s="150"/>
      <c r="J99" s="43" t="s">
        <v>10</v>
      </c>
      <c r="AG99"/>
      <c r="AH99" s="53">
        <f t="shared" ref="AH99:AT99" si="20">SUM(AH85:AH98)</f>
        <v>-44.86702470233584</v>
      </c>
      <c r="AI99" s="53">
        <f t="shared" si="20"/>
        <v>0</v>
      </c>
      <c r="AJ99" s="53">
        <f t="shared" si="20"/>
        <v>0</v>
      </c>
      <c r="AK99" s="53">
        <f t="shared" si="20"/>
        <v>-2.3195235851216847</v>
      </c>
      <c r="AL99" s="53">
        <f t="shared" si="20"/>
        <v>-86.512186507905085</v>
      </c>
      <c r="AM99" s="53">
        <f t="shared" si="20"/>
        <v>0</v>
      </c>
      <c r="AN99" s="53">
        <f t="shared" si="20"/>
        <v>0</v>
      </c>
      <c r="AO99" s="53">
        <f t="shared" si="20"/>
        <v>0</v>
      </c>
      <c r="AP99" s="53">
        <f t="shared" si="20"/>
        <v>0</v>
      </c>
      <c r="AQ99" s="53">
        <f t="shared" si="20"/>
        <v>0</v>
      </c>
      <c r="AR99" s="53">
        <f t="shared" si="20"/>
        <v>0</v>
      </c>
      <c r="AS99" s="53">
        <f t="shared" si="20"/>
        <v>0</v>
      </c>
      <c r="AT99" s="194">
        <f t="shared" si="20"/>
        <v>0</v>
      </c>
      <c r="BA99" s="44" t="str">
        <f t="shared" ca="1" si="18"/>
        <v>Transform_TO</v>
      </c>
      <c r="BB99" s="44" t="str">
        <f t="shared" si="19"/>
        <v>Revenue drivers</v>
      </c>
    </row>
    <row r="100" spans="1:54">
      <c r="H100" s="150"/>
      <c r="BA100" s="44"/>
    </row>
    <row r="101" spans="1:54" ht="20" thickBot="1">
      <c r="A101" s="10" t="s">
        <v>12</v>
      </c>
      <c r="H101" s="150"/>
      <c r="AZ101"/>
      <c r="BA101" s="44"/>
    </row>
    <row r="102" spans="1:54" ht="17" thickTop="1">
      <c r="E102" s="43" t="s">
        <v>14</v>
      </c>
      <c r="F102" s="150" t="str">
        <f>NGT_TO!F28</f>
        <v>SpC 6.1</v>
      </c>
      <c r="G102" s="43" t="str">
        <f t="shared" ref="G102:G110" si="21">price_label</f>
        <v>£m 23/24 prices</v>
      </c>
      <c r="H102" s="48" t="s">
        <v>1000</v>
      </c>
      <c r="AU102" s="174">
        <f>NGT_TO!AU28/PCf</f>
        <v>96.50542844491163</v>
      </c>
      <c r="AV102" s="50">
        <f>NGT_TO!AV28/PCf</f>
        <v>106.88338941117675</v>
      </c>
      <c r="AW102" s="50">
        <f>NGT_TO!AW28/PCf</f>
        <v>107.37554099587355</v>
      </c>
      <c r="AX102" s="50">
        <f>NGT_TO!AX28/PCf</f>
        <v>107.37554099587361</v>
      </c>
      <c r="AY102" s="50">
        <f>NGT_TO!AY28/PCf</f>
        <v>107.37554099587355</v>
      </c>
      <c r="AZ102"/>
      <c r="BA102" s="44" t="str">
        <f t="shared" ref="BA102:BA110" ca="1" si="22">$A$1</f>
        <v>Transform_TO</v>
      </c>
      <c r="BB102" s="44" t="str">
        <f t="shared" ref="BB102:BB110" si="23">$A$101</f>
        <v>Pass-through costs</v>
      </c>
    </row>
    <row r="103" spans="1:54" ht="16.5">
      <c r="E103" s="43" t="s">
        <v>249</v>
      </c>
      <c r="F103" s="150" t="str">
        <f>NGT_TO!F29</f>
        <v>SpC 6.1</v>
      </c>
      <c r="G103" s="43" t="str">
        <f t="shared" si="21"/>
        <v>£m 23/24 prices</v>
      </c>
      <c r="H103" s="48" t="s">
        <v>1001</v>
      </c>
      <c r="AU103" s="174">
        <f>NGT_TO!AU29/PCf</f>
        <v>39.402282744702873</v>
      </c>
      <c r="AV103" s="50">
        <f>NGT_TO!AV29/PCf</f>
        <v>39.402282744702866</v>
      </c>
      <c r="AW103" s="50">
        <f>NGT_TO!AW29/PCf</f>
        <v>39.402282744702852</v>
      </c>
      <c r="AX103" s="50">
        <f>NGT_TO!AX29/PCf</f>
        <v>39.402282744702873</v>
      </c>
      <c r="AY103" s="50">
        <f>NGT_TO!AY29/PCf</f>
        <v>39.402282744702852</v>
      </c>
      <c r="AZ103"/>
      <c r="BA103" s="44" t="str">
        <f t="shared" ca="1" si="22"/>
        <v>Transform_TO</v>
      </c>
      <c r="BB103" s="44" t="str">
        <f t="shared" si="23"/>
        <v>Pass-through costs</v>
      </c>
    </row>
    <row r="104" spans="1:54" ht="16.5">
      <c r="E104" s="43" t="s">
        <v>784</v>
      </c>
      <c r="F104" s="150" t="str">
        <f>NGT_TO!F30</f>
        <v>SpC 6.1</v>
      </c>
      <c r="G104" s="43" t="str">
        <f t="shared" si="21"/>
        <v>£m 23/24 prices</v>
      </c>
      <c r="H104" s="48" t="s">
        <v>1002</v>
      </c>
      <c r="AU104" s="174">
        <f>NGT_TO!AU30</f>
        <v>-8</v>
      </c>
      <c r="AV104" s="50">
        <f>NGT_TO!AV30</f>
        <v>0</v>
      </c>
      <c r="AW104" s="50">
        <f>NGT_TO!AW30</f>
        <v>0</v>
      </c>
      <c r="AX104" s="50">
        <f>NGT_TO!AX30</f>
        <v>0</v>
      </c>
      <c r="AY104" s="50">
        <f>NGT_TO!AY30</f>
        <v>0</v>
      </c>
      <c r="AZ104"/>
      <c r="BA104" s="44" t="str">
        <f t="shared" ca="1" si="22"/>
        <v>Transform_TO</v>
      </c>
      <c r="BB104" s="44" t="str">
        <f t="shared" si="23"/>
        <v>Pass-through costs</v>
      </c>
    </row>
    <row r="105" spans="1:54" ht="16.5">
      <c r="E105" s="43" t="s">
        <v>250</v>
      </c>
      <c r="F105" s="150" t="str">
        <f>NGT_TO!F31</f>
        <v>SpC 6.1</v>
      </c>
      <c r="G105" s="43" t="str">
        <f t="shared" si="21"/>
        <v>£m 23/24 prices</v>
      </c>
      <c r="H105" s="48" t="s">
        <v>1003</v>
      </c>
      <c r="AU105" s="174">
        <f>NGT_TO!AU31/PCf</f>
        <v>24.849065621127078</v>
      </c>
      <c r="AV105" s="50">
        <f>NGT_TO!AV31/PCf</f>
        <v>25.043214520021287</v>
      </c>
      <c r="AW105" s="50">
        <f>NGT_TO!AW31/PCf</f>
        <v>25.242417065784675</v>
      </c>
      <c r="AX105" s="50">
        <f>NGT_TO!AX31/PCf</f>
        <v>25.446899229699845</v>
      </c>
      <c r="AY105" s="50">
        <f>NGT_TO!AY31/PCf</f>
        <v>25.64682286733877</v>
      </c>
      <c r="AZ105"/>
      <c r="BA105" s="44" t="str">
        <f t="shared" ca="1" si="22"/>
        <v>Transform_TO</v>
      </c>
      <c r="BB105" s="44" t="str">
        <f t="shared" si="23"/>
        <v>Pass-through costs</v>
      </c>
    </row>
    <row r="106" spans="1:54" ht="16.5">
      <c r="E106" s="43" t="s">
        <v>785</v>
      </c>
      <c r="F106" s="150" t="str">
        <f>NGT_TO!F32</f>
        <v>SpC 6.2</v>
      </c>
      <c r="G106" s="43" t="str">
        <f t="shared" si="21"/>
        <v>£m 23/24 prices</v>
      </c>
      <c r="H106" s="48" t="s">
        <v>1004</v>
      </c>
      <c r="AU106" s="174">
        <f>NGT_TO!AU32/PCf</f>
        <v>8.7155900275653693</v>
      </c>
      <c r="AV106" s="50">
        <f>NGT_TO!AV32/PCf</f>
        <v>9.116158560532444</v>
      </c>
      <c r="AW106" s="50">
        <f>NGT_TO!AW32/PCf</f>
        <v>9.5774341999568176</v>
      </c>
      <c r="AX106" s="50">
        <f>NGT_TO!AX32/PCf</f>
        <v>10.047660860569597</v>
      </c>
      <c r="AY106" s="50">
        <f>NGT_TO!AY32/PCf</f>
        <v>10.549230800993252</v>
      </c>
      <c r="AZ106"/>
      <c r="BA106" s="44" t="str">
        <f t="shared" ca="1" si="22"/>
        <v>Transform_TO</v>
      </c>
      <c r="BB106" s="44" t="str">
        <f t="shared" si="23"/>
        <v>Pass-through costs</v>
      </c>
    </row>
    <row r="107" spans="1:54" ht="16.5">
      <c r="E107" s="43" t="s">
        <v>251</v>
      </c>
      <c r="F107" s="150" t="str">
        <f>NGT_TO!F33</f>
        <v>SpC 6.1</v>
      </c>
      <c r="G107" s="43" t="str">
        <f t="shared" si="21"/>
        <v>£m 23/24 prices</v>
      </c>
      <c r="H107" s="48" t="s">
        <v>1005</v>
      </c>
      <c r="AU107" s="174">
        <f>NGT_TO!AU33/PCf</f>
        <v>0</v>
      </c>
      <c r="AV107" s="50">
        <f>NGT_TO!AV33/PCf</f>
        <v>0</v>
      </c>
      <c r="AW107" s="50">
        <f>NGT_TO!AW33/PCf</f>
        <v>0</v>
      </c>
      <c r="AX107" s="50">
        <f>NGT_TO!AX33/PCf</f>
        <v>0</v>
      </c>
      <c r="AY107" s="50">
        <f>NGT_TO!AY33/PCf</f>
        <v>0</v>
      </c>
      <c r="AZ107"/>
      <c r="BA107" s="44" t="str">
        <f t="shared" ca="1" si="22"/>
        <v>Transform_TO</v>
      </c>
      <c r="BB107" s="44" t="str">
        <f t="shared" si="23"/>
        <v>Pass-through costs</v>
      </c>
    </row>
    <row r="108" spans="1:54" ht="16.5">
      <c r="E108" s="43" t="s">
        <v>252</v>
      </c>
      <c r="F108" s="150" t="str">
        <f>NGT_TO!F34</f>
        <v>SpC 6.1</v>
      </c>
      <c r="G108" s="43" t="str">
        <f t="shared" si="21"/>
        <v>£m 23/24 prices</v>
      </c>
      <c r="H108" s="48" t="s">
        <v>1006</v>
      </c>
      <c r="AU108" s="174">
        <f>NGT_TO!AU34/PCf</f>
        <v>-0.59654393512965143</v>
      </c>
      <c r="AV108" s="50">
        <f>NGT_TO!AV34/PCf</f>
        <v>0</v>
      </c>
      <c r="AW108" s="50">
        <f>NGT_TO!AW34/PCf</f>
        <v>0</v>
      </c>
      <c r="AX108" s="50">
        <f>NGT_TO!AX34/PCf</f>
        <v>0</v>
      </c>
      <c r="AY108" s="50">
        <f>NGT_TO!AY34/PCf</f>
        <v>0</v>
      </c>
      <c r="AZ108"/>
      <c r="BA108" s="44" t="str">
        <f t="shared" ca="1" si="22"/>
        <v>Transform_TO</v>
      </c>
      <c r="BB108" s="44" t="str">
        <f t="shared" si="23"/>
        <v>Pass-through costs</v>
      </c>
    </row>
    <row r="109" spans="1:54" ht="16.5">
      <c r="E109" s="43" t="s">
        <v>1009</v>
      </c>
      <c r="F109" s="150" t="str">
        <f>NGT_TO!F35</f>
        <v>SpC 6.1</v>
      </c>
      <c r="G109" s="43" t="str">
        <f t="shared" si="21"/>
        <v>£m 23/24 prices</v>
      </c>
      <c r="H109" s="48" t="s">
        <v>1007</v>
      </c>
      <c r="AU109" s="174">
        <f>NGT_TO!AU35</f>
        <v>0</v>
      </c>
      <c r="AV109" s="50">
        <f>NGT_TO!AV35</f>
        <v>0</v>
      </c>
      <c r="AW109" s="50">
        <f>NGT_TO!AW35</f>
        <v>0</v>
      </c>
      <c r="AX109" s="50">
        <f>NGT_TO!AX35</f>
        <v>0</v>
      </c>
      <c r="AY109" s="50">
        <f>NGT_TO!AY35</f>
        <v>0</v>
      </c>
      <c r="AZ109"/>
      <c r="BA109" s="44" t="str">
        <f t="shared" ca="1" si="22"/>
        <v>Transform_TO</v>
      </c>
      <c r="BB109" s="44" t="str">
        <f t="shared" si="23"/>
        <v>Pass-through costs</v>
      </c>
    </row>
    <row r="110" spans="1:54" ht="16.5">
      <c r="E110" s="43" t="s">
        <v>113</v>
      </c>
      <c r="G110" s="43" t="str">
        <f t="shared" si="21"/>
        <v>£m 23/24 prices</v>
      </c>
      <c r="H110" s="248" t="s">
        <v>1008</v>
      </c>
      <c r="AU110" s="176">
        <f>SUM(AU102:AU109)</f>
        <v>160.87582290317727</v>
      </c>
      <c r="AV110" s="53">
        <f t="shared" ref="AV110:AY110" si="24">SUM(AV102:AV109)</f>
        <v>180.44504523643334</v>
      </c>
      <c r="AW110" s="53">
        <f t="shared" si="24"/>
        <v>181.5976750063179</v>
      </c>
      <c r="AX110" s="53">
        <f t="shared" si="24"/>
        <v>182.27238383084594</v>
      </c>
      <c r="AY110" s="53">
        <f t="shared" si="24"/>
        <v>182.97387740890844</v>
      </c>
      <c r="AZ110"/>
      <c r="BA110" s="44" t="str">
        <f t="shared" ca="1" si="22"/>
        <v>Transform_TO</v>
      </c>
      <c r="BB110" s="44" t="str">
        <f t="shared" si="23"/>
        <v>Pass-through costs</v>
      </c>
    </row>
    <row r="111" spans="1:54">
      <c r="H111" s="150"/>
      <c r="AZ111"/>
      <c r="BA111" s="44"/>
    </row>
    <row r="112" spans="1:54" ht="20" thickBot="1">
      <c r="A112" s="10" t="s">
        <v>17</v>
      </c>
      <c r="H112" s="150"/>
      <c r="AZ112"/>
      <c r="BA112" s="44"/>
    </row>
    <row r="113" spans="1:55" ht="17" thickTop="1">
      <c r="E113" s="43" t="s">
        <v>253</v>
      </c>
      <c r="F113" s="150" t="str">
        <f>NGT_TO!F41</f>
        <v>SpC 5.2</v>
      </c>
      <c r="G113" s="43" t="str">
        <f t="shared" ref="G113:G119" si="25">price_label</f>
        <v>£m 23/24 prices</v>
      </c>
      <c r="H113" s="48" t="s">
        <v>1013</v>
      </c>
      <c r="I113" s="56">
        <f>NGT_TO!I570</f>
        <v>1.1111111111111112</v>
      </c>
      <c r="AU113" s="174">
        <f>NGT_TO!AU41</f>
        <v>4.2939999999999996</v>
      </c>
      <c r="AV113" s="50">
        <f>NGT_TO!AV41</f>
        <v>4.2939999999999996</v>
      </c>
      <c r="AW113" s="50">
        <f>NGT_TO!AW41</f>
        <v>4.2939999999999996</v>
      </c>
      <c r="AX113" s="50">
        <f>NGT_TO!AX41</f>
        <v>4.2939999999999996</v>
      </c>
      <c r="AY113" s="50">
        <f>NGT_TO!AY41</f>
        <v>4.2939999999999996</v>
      </c>
      <c r="AZ113"/>
      <c r="BA113" s="44" t="str">
        <f t="shared" ref="BA113:BA120" ca="1" si="26">$A$1</f>
        <v>Transform_TO</v>
      </c>
      <c r="BB113" s="44" t="str">
        <f t="shared" ref="BB113:BB119" si="27">$A$112</f>
        <v>Other revenue allowances</v>
      </c>
    </row>
    <row r="114" spans="1:55" ht="16.5">
      <c r="E114" s="43" t="s">
        <v>1011</v>
      </c>
      <c r="F114" s="150" t="str">
        <f>NGT_TO!F42</f>
        <v>SpC 5.3</v>
      </c>
      <c r="G114" s="43" t="str">
        <f t="shared" si="25"/>
        <v>£m 23/24 prices</v>
      </c>
      <c r="H114" s="48" t="s">
        <v>1014</v>
      </c>
      <c r="I114" s="56">
        <f>NGT_TO!I571</f>
        <v>1.1111111111111112</v>
      </c>
      <c r="AU114" s="174">
        <f>NGT_TO!AU42</f>
        <v>0</v>
      </c>
      <c r="AV114" s="50">
        <f>NGT_TO!AV42</f>
        <v>0</v>
      </c>
      <c r="AW114" s="50">
        <f>NGT_TO!AW42</f>
        <v>0</v>
      </c>
      <c r="AX114" s="50">
        <f>NGT_TO!AX42</f>
        <v>0</v>
      </c>
      <c r="AY114" s="50">
        <f>NGT_TO!AY42</f>
        <v>0</v>
      </c>
      <c r="AZ114"/>
      <c r="BA114" s="44" t="str">
        <f t="shared" ca="1" si="26"/>
        <v>Transform_TO</v>
      </c>
      <c r="BB114" s="44" t="str">
        <f t="shared" si="27"/>
        <v>Other revenue allowances</v>
      </c>
    </row>
    <row r="115" spans="1:55" ht="16.5">
      <c r="E115" s="43" t="s">
        <v>254</v>
      </c>
      <c r="F115" s="150" t="str">
        <f>NGT_TO!F43</f>
        <v>SpC 5.7</v>
      </c>
      <c r="G115" s="43" t="str">
        <f t="shared" si="25"/>
        <v>£m 23/24 prices</v>
      </c>
      <c r="H115" s="48" t="s">
        <v>1132</v>
      </c>
      <c r="I115" s="56">
        <f>NGT_TO!I572</f>
        <v>1</v>
      </c>
      <c r="AU115" s="174">
        <f>NGT_TO!AU43</f>
        <v>-3.002809955217292</v>
      </c>
      <c r="AV115" s="50">
        <f>NGT_TO!AV43</f>
        <v>2.884568808048773</v>
      </c>
      <c r="AW115" s="50">
        <f>NGT_TO!AW43</f>
        <v>2.0706399186250275</v>
      </c>
      <c r="AX115" s="50">
        <f>NGT_TO!AX43</f>
        <v>1.9813376593574412</v>
      </c>
      <c r="AY115" s="50">
        <f>NGT_TO!AY43</f>
        <v>1.6462774576859374</v>
      </c>
      <c r="AZ115"/>
      <c r="BA115" s="44" t="str">
        <f t="shared" ca="1" si="26"/>
        <v>Transform_TO</v>
      </c>
      <c r="BB115" s="44" t="str">
        <f t="shared" si="27"/>
        <v>Other revenue allowances</v>
      </c>
    </row>
    <row r="116" spans="1:55" ht="16.5">
      <c r="E116" s="43" t="s">
        <v>787</v>
      </c>
      <c r="F116" s="150" t="str">
        <f>NGT_TO!F44</f>
        <v>SpC 5.1</v>
      </c>
      <c r="G116" s="43" t="str">
        <f t="shared" si="25"/>
        <v>£m 23/24 prices</v>
      </c>
      <c r="H116" s="48" t="s">
        <v>1015</v>
      </c>
      <c r="I116" s="56">
        <f>NGT_TO!I575</f>
        <v>0</v>
      </c>
      <c r="AU116" s="174">
        <f>NGT_TO!AU44</f>
        <v>0</v>
      </c>
      <c r="AV116" s="50">
        <f>NGT_TO!AV44</f>
        <v>0</v>
      </c>
      <c r="AW116" s="50">
        <f>NGT_TO!AW44</f>
        <v>0</v>
      </c>
      <c r="AX116" s="50">
        <f>NGT_TO!AX44</f>
        <v>0</v>
      </c>
      <c r="AY116" s="50">
        <f>NGT_TO!AY44</f>
        <v>0</v>
      </c>
      <c r="AZ116"/>
      <c r="BA116" s="44" t="str">
        <f t="shared" ca="1" si="26"/>
        <v>Transform_TO</v>
      </c>
      <c r="BB116" s="44" t="str">
        <f t="shared" si="27"/>
        <v>Other revenue allowances</v>
      </c>
    </row>
    <row r="117" spans="1:55">
      <c r="E117" s="43" t="s">
        <v>1012</v>
      </c>
      <c r="H117" s="248"/>
      <c r="I117" s="56">
        <f>NGT_TO!I573</f>
        <v>0</v>
      </c>
      <c r="AU117" s="174">
        <f>NGT_TO!AU45</f>
        <v>0</v>
      </c>
      <c r="AV117" s="50">
        <f>NGT_TO!AV45</f>
        <v>0</v>
      </c>
      <c r="AW117" s="50">
        <f>NGT_TO!AW45</f>
        <v>0</v>
      </c>
      <c r="AX117" s="50">
        <f>NGT_TO!AX45</f>
        <v>0</v>
      </c>
      <c r="AY117" s="50">
        <f>NGT_TO!AY45</f>
        <v>0</v>
      </c>
      <c r="AZ117"/>
      <c r="BA117" s="44" t="str">
        <f t="shared" ca="1" si="26"/>
        <v>Transform_TO</v>
      </c>
      <c r="BB117" s="44" t="str">
        <f t="shared" si="27"/>
        <v>Other revenue allowances</v>
      </c>
    </row>
    <row r="118" spans="1:55">
      <c r="E118" s="43" t="s">
        <v>255</v>
      </c>
      <c r="G118" s="43" t="str">
        <f t="shared" si="25"/>
        <v>£m 23/24 prices</v>
      </c>
      <c r="H118" s="248"/>
      <c r="I118" s="56">
        <f>NGT_TO!I574</f>
        <v>0</v>
      </c>
      <c r="AU118" s="174">
        <f>NGT_TO!AU46</f>
        <v>0</v>
      </c>
      <c r="AV118" s="50">
        <f>NGT_TO!AV46</f>
        <v>0</v>
      </c>
      <c r="AW118" s="50">
        <f>NGT_TO!AW46</f>
        <v>0</v>
      </c>
      <c r="AX118" s="50">
        <f>NGT_TO!AX46</f>
        <v>0</v>
      </c>
      <c r="AY118" s="50">
        <f>NGT_TO!AY46</f>
        <v>0</v>
      </c>
      <c r="AZ118"/>
      <c r="BA118" s="44" t="str">
        <f t="shared" ca="1" si="26"/>
        <v>Transform_TO</v>
      </c>
      <c r="BB118" s="44" t="str">
        <f t="shared" si="27"/>
        <v>Other revenue allowances</v>
      </c>
    </row>
    <row r="119" spans="1:55" ht="16.5">
      <c r="E119" s="43" t="s">
        <v>115</v>
      </c>
      <c r="G119" s="43" t="str">
        <f t="shared" si="25"/>
        <v>£m 23/24 prices</v>
      </c>
      <c r="H119" s="248" t="s">
        <v>1016</v>
      </c>
      <c r="I119"/>
      <c r="AU119" s="176">
        <f>SUM(AU113:AU118)</f>
        <v>1.2911900447827076</v>
      </c>
      <c r="AV119" s="53">
        <f>SUM(AV113:AV118)</f>
        <v>7.1785688080487731</v>
      </c>
      <c r="AW119" s="53">
        <f>SUM(AW113:AW118)</f>
        <v>6.3646399186250271</v>
      </c>
      <c r="AX119" s="53">
        <f>SUM(AX113:AX118)</f>
        <v>6.275337659357441</v>
      </c>
      <c r="AY119" s="53">
        <f>SUM(AY113:AY118)</f>
        <v>5.9402774576859372</v>
      </c>
      <c r="AZ119"/>
      <c r="BA119" s="44" t="str">
        <f t="shared" ca="1" si="26"/>
        <v>Transform_TO</v>
      </c>
      <c r="BB119" s="44" t="str">
        <f t="shared" si="27"/>
        <v>Other revenue allowances</v>
      </c>
    </row>
    <row r="120" spans="1:55">
      <c r="E120" s="43" t="s">
        <v>363</v>
      </c>
      <c r="G120" s="43" t="str">
        <f>price_label</f>
        <v>£m 23/24 prices</v>
      </c>
      <c r="H120" s="150"/>
      <c r="AU120" s="143">
        <f>SUMPRODUCT(AU113:AU118,$I$113:$I$118)</f>
        <v>1.7683011558938189</v>
      </c>
      <c r="AV120" s="54">
        <f>SUMPRODUCT(AV113:AV118,$I$113:$I$118)</f>
        <v>7.6556799191598834</v>
      </c>
      <c r="AW120" s="54">
        <f>SUMPRODUCT(AW113:AW118,$I$113:$I$118)</f>
        <v>6.8417510297361384</v>
      </c>
      <c r="AX120" s="54">
        <f>SUMPRODUCT(AX113:AX118,$I$113:$I$118)</f>
        <v>6.7524487704685523</v>
      </c>
      <c r="AY120" s="54">
        <f>SUMPRODUCT(AY113:AY118,$I$113:$I$118)</f>
        <v>6.4173885687970484</v>
      </c>
      <c r="AZ120"/>
      <c r="BA120" s="44" t="str">
        <f t="shared" ca="1" si="26"/>
        <v>Transform_TO</v>
      </c>
      <c r="BB120" s="44" t="str">
        <f>$A$112</f>
        <v>Other revenue allowances</v>
      </c>
    </row>
    <row r="121" spans="1:55">
      <c r="H121" s="150"/>
      <c r="AZ121"/>
      <c r="BA121" s="44"/>
    </row>
    <row r="122" spans="1:55" ht="20" thickBot="1">
      <c r="A122" s="10" t="s">
        <v>240</v>
      </c>
      <c r="H122" s="150"/>
      <c r="AZ122"/>
      <c r="BA122" s="44"/>
    </row>
    <row r="123" spans="1:55" ht="17" thickTop="1">
      <c r="E123" s="43" t="s">
        <v>29</v>
      </c>
      <c r="F123" s="150" t="str">
        <f>NGT_TO!F69</f>
        <v>SpC 7.4</v>
      </c>
      <c r="G123" s="43" t="str">
        <f>nominal</f>
        <v>£m nominal</v>
      </c>
      <c r="H123" s="48" t="s">
        <v>1017</v>
      </c>
      <c r="AU123" s="174">
        <f>NGT_TO!AU69</f>
        <v>320.67244916379758</v>
      </c>
      <c r="AV123"/>
      <c r="AW123"/>
      <c r="AX123"/>
      <c r="AY123"/>
      <c r="AZ123"/>
      <c r="BA123" s="44" t="str">
        <f t="shared" ref="BA123:BA225" ca="1" si="28">$A$1</f>
        <v>Transform_TO</v>
      </c>
      <c r="BB123" s="44" t="str">
        <f>$A$156</f>
        <v>Finance inputs</v>
      </c>
      <c r="BC123" s="44" t="str">
        <f t="shared" ref="BC123:BC140" si="29">$A$122</f>
        <v>Tax pools</v>
      </c>
    </row>
    <row r="124" spans="1:55" ht="16.5">
      <c r="E124" s="43" t="s">
        <v>340</v>
      </c>
      <c r="G124" s="43" t="str">
        <f t="shared" ref="G124:G130" si="30">nominal</f>
        <v>£m nominal</v>
      </c>
      <c r="H124" s="48" t="s">
        <v>1018</v>
      </c>
      <c r="AU124" s="174">
        <f>NGT_TO!AU73</f>
        <v>-219.047</v>
      </c>
      <c r="AV124"/>
      <c r="AW124"/>
      <c r="AX124"/>
      <c r="AY124"/>
      <c r="AZ124"/>
      <c r="BA124" s="44" t="str">
        <f ca="1">$A$1</f>
        <v>Transform_TO</v>
      </c>
      <c r="BB124" s="44" t="str">
        <f>$A$156</f>
        <v>Finance inputs</v>
      </c>
      <c r="BC124" s="44" t="str">
        <f t="shared" si="29"/>
        <v>Tax pools</v>
      </c>
    </row>
    <row r="125" spans="1:55" ht="16.5">
      <c r="E125" s="43" t="s">
        <v>344</v>
      </c>
      <c r="G125" s="43" t="s">
        <v>33</v>
      </c>
      <c r="H125" s="48" t="s">
        <v>1019</v>
      </c>
      <c r="AU125" s="175">
        <f>NGT_TO!AU522</f>
        <v>1</v>
      </c>
      <c r="AV125" s="56">
        <f>NGT_TO!AV522</f>
        <v>1</v>
      </c>
      <c r="AW125" s="56">
        <f>NGT_TO!AW522</f>
        <v>1</v>
      </c>
      <c r="AX125" s="56">
        <f>NGT_TO!AX522</f>
        <v>1</v>
      </c>
      <c r="AY125" s="56">
        <f>NGT_TO!AY522</f>
        <v>1</v>
      </c>
      <c r="AZ125"/>
      <c r="BA125" s="44" t="str">
        <f ca="1">$A$1</f>
        <v>Transform_TO</v>
      </c>
      <c r="BB125" s="44" t="str">
        <f>$A$156</f>
        <v>Finance inputs</v>
      </c>
      <c r="BC125" s="44" t="str">
        <f>$A$122</f>
        <v>Tax pools</v>
      </c>
    </row>
    <row r="126" spans="1:55" ht="16.5">
      <c r="E126" s="43" t="s">
        <v>86</v>
      </c>
      <c r="G126" s="43" t="s">
        <v>33</v>
      </c>
      <c r="H126" s="48" t="s">
        <v>1020</v>
      </c>
      <c r="AU126" s="175">
        <f>NGT_TO!AU518</f>
        <v>0.14000000000000001</v>
      </c>
      <c r="AV126" s="56">
        <f>NGT_TO!AV518</f>
        <v>0.14000000000000001</v>
      </c>
      <c r="AW126" s="56">
        <f>NGT_TO!AW518</f>
        <v>0.14000000000000001</v>
      </c>
      <c r="AX126" s="56">
        <f>NGT_TO!AX518</f>
        <v>0.14000000000000001</v>
      </c>
      <c r="AY126" s="56">
        <f>NGT_TO!AY518</f>
        <v>0.14000000000000001</v>
      </c>
      <c r="AZ126"/>
      <c r="BA126" s="44" t="str">
        <f ca="1">$A$1</f>
        <v>Transform_TO</v>
      </c>
      <c r="BB126" s="44" t="str">
        <f>$A$156</f>
        <v>Finance inputs</v>
      </c>
      <c r="BC126" s="44" t="str">
        <f>$A$122</f>
        <v>Tax pools</v>
      </c>
    </row>
    <row r="127" spans="1:55">
      <c r="E127" s="43" t="s">
        <v>345</v>
      </c>
      <c r="G127" s="43" t="s">
        <v>33</v>
      </c>
      <c r="H127" s="150"/>
      <c r="AU127" s="175">
        <f>NGT_TO!AU553</f>
        <v>1</v>
      </c>
      <c r="AV127" s="56">
        <f>NGT_TO!AV553</f>
        <v>1</v>
      </c>
      <c r="AW127" s="56">
        <f>NGT_TO!AW553</f>
        <v>1</v>
      </c>
      <c r="AX127" s="56">
        <f>NGT_TO!AX553</f>
        <v>1</v>
      </c>
      <c r="AY127" s="56">
        <f>NGT_TO!AY553</f>
        <v>1</v>
      </c>
      <c r="AZ127"/>
      <c r="BA127" s="44" t="str">
        <f ca="1">$A$1</f>
        <v>Transform_TO</v>
      </c>
      <c r="BB127" s="44" t="str">
        <f>$A$156</f>
        <v>Finance inputs</v>
      </c>
      <c r="BC127" s="44" t="str">
        <f>$A$122</f>
        <v>Tax pools</v>
      </c>
    </row>
    <row r="128" spans="1:55" customFormat="1" ht="14.5">
      <c r="F128" s="151"/>
      <c r="H128" s="151"/>
      <c r="AT128" s="77"/>
      <c r="BB128" s="1"/>
    </row>
    <row r="129" spans="5:55" ht="16.5">
      <c r="E129" s="43" t="s">
        <v>718</v>
      </c>
      <c r="F129" s="150" t="str">
        <f>NGT_TO!F70</f>
        <v>SpC 7.4</v>
      </c>
      <c r="G129" s="43" t="str">
        <f t="shared" ref="G129:G225" si="31">nominal</f>
        <v>£m nominal</v>
      </c>
      <c r="H129" s="48" t="s">
        <v>1032</v>
      </c>
      <c r="AU129" s="174">
        <f>NGT_TO!AU70</f>
        <v>2093.8684751496303</v>
      </c>
      <c r="AV129"/>
      <c r="AW129"/>
      <c r="AX129"/>
      <c r="AY129"/>
      <c r="AZ129"/>
      <c r="BA129" s="44" t="str">
        <f t="shared" ca="1" si="28"/>
        <v>Transform_TO</v>
      </c>
      <c r="BB129" s="44" t="str">
        <f>$A$156</f>
        <v>Finance inputs</v>
      </c>
      <c r="BC129" s="44" t="str">
        <f t="shared" si="29"/>
        <v>Tax pools</v>
      </c>
    </row>
    <row r="130" spans="5:55" ht="16.5">
      <c r="E130" s="43" t="s">
        <v>717</v>
      </c>
      <c r="G130" s="43" t="str">
        <f t="shared" si="30"/>
        <v>£m nominal</v>
      </c>
      <c r="H130" s="48" t="s">
        <v>1035</v>
      </c>
      <c r="AU130" s="174">
        <f>NGT_TO!AU74</f>
        <v>-210.34763581310202</v>
      </c>
      <c r="AV130"/>
      <c r="AW130"/>
      <c r="AX130"/>
      <c r="AY130"/>
      <c r="AZ130"/>
      <c r="BA130" s="44" t="str">
        <f ca="1">$A$1</f>
        <v>Transform_TO</v>
      </c>
      <c r="BB130" s="44" t="str">
        <f>$A$156</f>
        <v>Finance inputs</v>
      </c>
      <c r="BC130" s="44" t="str">
        <f t="shared" si="29"/>
        <v>Tax pools</v>
      </c>
    </row>
    <row r="131" spans="5:55" ht="16.5">
      <c r="E131" s="43" t="s">
        <v>722</v>
      </c>
      <c r="G131" s="43" t="s">
        <v>33</v>
      </c>
      <c r="H131" s="48" t="s">
        <v>1048</v>
      </c>
      <c r="AU131" s="175">
        <f>NGT_TO!AU523</f>
        <v>1</v>
      </c>
      <c r="AV131" s="56">
        <f>NGT_TO!AV523</f>
        <v>1</v>
      </c>
      <c r="AW131" s="56">
        <f>NGT_TO!AW523</f>
        <v>1</v>
      </c>
      <c r="AX131" s="56">
        <f>NGT_TO!AX523</f>
        <v>1</v>
      </c>
      <c r="AY131" s="56">
        <f>NGT_TO!AY523</f>
        <v>1</v>
      </c>
      <c r="AZ131"/>
      <c r="BA131" s="44" t="str">
        <f ca="1">$A$1</f>
        <v>Transform_TO</v>
      </c>
      <c r="BB131" s="44" t="str">
        <f>$A$156</f>
        <v>Finance inputs</v>
      </c>
      <c r="BC131" s="44" t="str">
        <f>$A$122</f>
        <v>Tax pools</v>
      </c>
    </row>
    <row r="132" spans="5:55" ht="16.5">
      <c r="E132" s="43" t="s">
        <v>727</v>
      </c>
      <c r="G132" s="43" t="s">
        <v>33</v>
      </c>
      <c r="H132" s="48" t="s">
        <v>1045</v>
      </c>
      <c r="AU132" s="175">
        <f>NGT_TO!AU519</f>
        <v>0.06</v>
      </c>
      <c r="AV132" s="56">
        <f>NGT_TO!AV519</f>
        <v>0.06</v>
      </c>
      <c r="AW132" s="56">
        <f>NGT_TO!AW519</f>
        <v>0.06</v>
      </c>
      <c r="AX132" s="56">
        <f>NGT_TO!AX519</f>
        <v>0.06</v>
      </c>
      <c r="AY132" s="56">
        <f>NGT_TO!AY519</f>
        <v>0.06</v>
      </c>
      <c r="AZ132"/>
      <c r="BA132" s="44" t="str">
        <f ca="1">$A$1</f>
        <v>Transform_TO</v>
      </c>
      <c r="BB132" s="44" t="str">
        <f>$A$156</f>
        <v>Finance inputs</v>
      </c>
      <c r="BC132" s="44" t="str">
        <f>$A$122</f>
        <v>Tax pools</v>
      </c>
    </row>
    <row r="133" spans="5:55">
      <c r="E133" s="43" t="s">
        <v>721</v>
      </c>
      <c r="G133" s="43" t="s">
        <v>33</v>
      </c>
      <c r="H133" s="248"/>
      <c r="AU133" s="175">
        <f>NGT_TO!AU554</f>
        <v>0.5</v>
      </c>
      <c r="AV133" s="56">
        <f>NGT_TO!AV554</f>
        <v>0.5</v>
      </c>
      <c r="AW133" s="56">
        <f>NGT_TO!AW554</f>
        <v>0.5</v>
      </c>
      <c r="AX133" s="56">
        <f>NGT_TO!AX554</f>
        <v>0.5</v>
      </c>
      <c r="AY133" s="56">
        <f>NGT_TO!AY554</f>
        <v>0.5</v>
      </c>
      <c r="AZ133"/>
      <c r="BA133" s="44" t="str">
        <f ca="1">$A$1</f>
        <v>Transform_TO</v>
      </c>
      <c r="BB133" s="44" t="str">
        <f>$A$156</f>
        <v>Finance inputs</v>
      </c>
      <c r="BC133" s="44" t="str">
        <f>$A$122</f>
        <v>Tax pools</v>
      </c>
    </row>
    <row r="134" spans="5:55" customFormat="1" ht="14.5">
      <c r="F134" s="151"/>
      <c r="H134" s="249"/>
      <c r="AT134" s="77"/>
      <c r="BB134" s="1"/>
    </row>
    <row r="135" spans="5:55" ht="16.5">
      <c r="E135" s="43" t="s">
        <v>719</v>
      </c>
      <c r="F135" s="150" t="str">
        <f>NGT_TO!F71</f>
        <v>SpC 7.4</v>
      </c>
      <c r="G135" s="43" t="str">
        <f t="shared" si="31"/>
        <v>£m nominal</v>
      </c>
      <c r="H135" s="48" t="s">
        <v>1033</v>
      </c>
      <c r="AU135" s="174">
        <f>NGT_TO!AU71</f>
        <v>12.25226183603101</v>
      </c>
      <c r="AV135"/>
      <c r="AW135"/>
      <c r="AX135"/>
      <c r="AY135"/>
      <c r="AZ135"/>
      <c r="BA135" s="44" t="str">
        <f t="shared" ca="1" si="28"/>
        <v>Transform_TO</v>
      </c>
      <c r="BB135" s="44" t="str">
        <f>$A$156</f>
        <v>Finance inputs</v>
      </c>
      <c r="BC135" s="44" t="str">
        <f t="shared" si="29"/>
        <v>Tax pools</v>
      </c>
    </row>
    <row r="136" spans="5:55" ht="16.5">
      <c r="E136" s="43" t="s">
        <v>807</v>
      </c>
      <c r="G136" s="43" t="str">
        <f t="shared" si="31"/>
        <v>£m nominal</v>
      </c>
      <c r="H136" s="48" t="s">
        <v>1036</v>
      </c>
      <c r="J136" s="43" t="s">
        <v>10</v>
      </c>
      <c r="AT136" s="193">
        <f>NGT_TO!AT75</f>
        <v>13.364857720414665</v>
      </c>
      <c r="AU136" s="174"/>
      <c r="AV136"/>
      <c r="AW136"/>
      <c r="AX136"/>
      <c r="AY136"/>
      <c r="AZ136"/>
      <c r="BA136" s="44" t="str">
        <f t="shared" ca="1" si="28"/>
        <v>Transform_TO</v>
      </c>
      <c r="BB136" s="44" t="str">
        <f>$A$156</f>
        <v>Finance inputs</v>
      </c>
      <c r="BC136" s="44" t="str">
        <f t="shared" si="29"/>
        <v>Tax pools</v>
      </c>
    </row>
    <row r="137" spans="5:55" ht="16.5">
      <c r="E137" s="43" t="s">
        <v>723</v>
      </c>
      <c r="G137" s="43" t="s">
        <v>33</v>
      </c>
      <c r="H137" s="48" t="s">
        <v>1046</v>
      </c>
      <c r="AU137" s="175">
        <f>NGT_TO!AU520</f>
        <v>0.03</v>
      </c>
      <c r="AV137" s="56">
        <f>NGT_TO!AV520</f>
        <v>0.03</v>
      </c>
      <c r="AW137" s="56">
        <f>NGT_TO!AW520</f>
        <v>0.03</v>
      </c>
      <c r="AX137" s="56">
        <f>NGT_TO!AX520</f>
        <v>0.03</v>
      </c>
      <c r="AY137" s="56">
        <f>NGT_TO!AY520</f>
        <v>0.03</v>
      </c>
      <c r="AZ137"/>
      <c r="BA137" s="44" t="str">
        <f ca="1">$A$1</f>
        <v>Transform_TO</v>
      </c>
      <c r="BB137" s="44" t="str">
        <f>$A$156</f>
        <v>Finance inputs</v>
      </c>
      <c r="BC137" s="44" t="str">
        <f>$A$122</f>
        <v>Tax pools</v>
      </c>
    </row>
    <row r="138" spans="5:55" customFormat="1" ht="14.5">
      <c r="F138" s="151"/>
      <c r="H138" s="249"/>
      <c r="AT138" s="77"/>
      <c r="BB138" s="1"/>
    </row>
    <row r="139" spans="5:55" ht="16.5">
      <c r="E139" s="43" t="s">
        <v>720</v>
      </c>
      <c r="F139" s="150" t="str">
        <f>NGT_TO!F72</f>
        <v>SpC 7.4</v>
      </c>
      <c r="G139" s="43" t="str">
        <f t="shared" si="31"/>
        <v>£m nominal</v>
      </c>
      <c r="H139" s="48" t="s">
        <v>1034</v>
      </c>
      <c r="AU139" s="174">
        <f>NGT_TO!AU72</f>
        <v>2.195185582472611</v>
      </c>
      <c r="AV139"/>
      <c r="AW139"/>
      <c r="AX139"/>
      <c r="AY139"/>
      <c r="AZ139"/>
      <c r="BA139" s="44" t="str">
        <f t="shared" ca="1" si="28"/>
        <v>Transform_TO</v>
      </c>
      <c r="BB139" s="44" t="str">
        <f>$A$156</f>
        <v>Finance inputs</v>
      </c>
      <c r="BC139" s="44" t="str">
        <f t="shared" si="29"/>
        <v>Tax pools</v>
      </c>
    </row>
    <row r="140" spans="5:55" ht="16.5">
      <c r="E140" s="43" t="s">
        <v>806</v>
      </c>
      <c r="G140" s="43" t="str">
        <f t="shared" si="31"/>
        <v>£m nominal</v>
      </c>
      <c r="H140" s="48" t="s">
        <v>1037</v>
      </c>
      <c r="J140" s="43" t="s">
        <v>10</v>
      </c>
      <c r="AO140"/>
      <c r="AP140"/>
      <c r="AQ140"/>
      <c r="AR140"/>
      <c r="AS140"/>
      <c r="AT140" s="92">
        <f>NGT_TO!AT76</f>
        <v>2.2275469598115083</v>
      </c>
      <c r="AU140"/>
      <c r="AV140"/>
      <c r="AW140"/>
      <c r="AX140"/>
      <c r="AY140"/>
      <c r="AZ140"/>
      <c r="BA140" s="44" t="str">
        <f t="shared" ca="1" si="28"/>
        <v>Transform_TO</v>
      </c>
      <c r="BB140" s="44" t="str">
        <f>$A$156</f>
        <v>Finance inputs</v>
      </c>
      <c r="BC140" s="44" t="str">
        <f t="shared" si="29"/>
        <v>Tax pools</v>
      </c>
    </row>
    <row r="141" spans="5:55" ht="16.5">
      <c r="E141" s="43" t="s">
        <v>724</v>
      </c>
      <c r="G141" s="43" t="s">
        <v>33</v>
      </c>
      <c r="H141" s="48" t="s">
        <v>1047</v>
      </c>
      <c r="AU141" s="175">
        <f>NGT_TO!AU521</f>
        <v>2.2200000000000001E-2</v>
      </c>
      <c r="AV141" s="56">
        <f>NGT_TO!AV521</f>
        <v>2.2200000000000001E-2</v>
      </c>
      <c r="AW141" s="56">
        <f>NGT_TO!AW521</f>
        <v>2.2200000000000001E-2</v>
      </c>
      <c r="AX141" s="56">
        <f>NGT_TO!AX521</f>
        <v>2.2200000000000001E-2</v>
      </c>
      <c r="AY141" s="56">
        <f>NGT_TO!AY521</f>
        <v>2.2200000000000001E-2</v>
      </c>
      <c r="AZ141"/>
      <c r="BA141" s="44" t="str">
        <f ca="1">$A$1</f>
        <v>Transform_TO</v>
      </c>
      <c r="BB141" s="44" t="str">
        <f>$A$156</f>
        <v>Finance inputs</v>
      </c>
      <c r="BC141" s="44" t="str">
        <f>$A$122</f>
        <v>Tax pools</v>
      </c>
    </row>
    <row r="142" spans="5:55">
      <c r="H142" s="248"/>
      <c r="AZ142"/>
      <c r="BA142" s="44"/>
    </row>
    <row r="143" spans="5:55" ht="16.5">
      <c r="E143" s="43" t="s">
        <v>32</v>
      </c>
      <c r="G143" s="43" t="s">
        <v>33</v>
      </c>
      <c r="H143" s="48" t="s">
        <v>1049</v>
      </c>
      <c r="AU143" s="175">
        <f>NGT_TO!AU524</f>
        <v>0.2824468960192833</v>
      </c>
      <c r="AV143" s="56">
        <f>NGT_TO!AV524</f>
        <v>0.29927741745379666</v>
      </c>
      <c r="AW143" s="56">
        <f>NGT_TO!AW524</f>
        <v>0.30151331543060544</v>
      </c>
      <c r="AX143" s="56">
        <f>NGT_TO!AX524</f>
        <v>0.27764872491088638</v>
      </c>
      <c r="AY143" s="56">
        <f>NGT_TO!AY524</f>
        <v>0.27211226674312117</v>
      </c>
      <c r="AZ143"/>
      <c r="BA143" s="44" t="str">
        <f t="shared" ref="BA143:BA148" ca="1" si="32">$A$1</f>
        <v>Transform_TO</v>
      </c>
      <c r="BB143" s="44" t="str">
        <f t="shared" ref="BB143:BB148" si="33">$A$156</f>
        <v>Finance inputs</v>
      </c>
      <c r="BC143" s="44" t="str">
        <f t="shared" ref="BC143:BC148" si="34">$A$122</f>
        <v>Tax pools</v>
      </c>
    </row>
    <row r="144" spans="5:55" ht="16.5">
      <c r="E144" s="43" t="s">
        <v>342</v>
      </c>
      <c r="G144" s="43" t="s">
        <v>33</v>
      </c>
      <c r="H144" s="48" t="s">
        <v>1050</v>
      </c>
      <c r="AU144" s="175">
        <f>NGT_TO!AU525</f>
        <v>0.36920164562303565</v>
      </c>
      <c r="AV144" s="56">
        <f>NGT_TO!AV525</f>
        <v>0.3912017323575413</v>
      </c>
      <c r="AW144" s="56">
        <f>NGT_TO!AW525</f>
        <v>0.39412439578247993</v>
      </c>
      <c r="AX144" s="56">
        <f>NGT_TO!AX525</f>
        <v>0.36292969611972059</v>
      </c>
      <c r="AY144" s="56">
        <f>NGT_TO!AY525</f>
        <v>0.35569269158799988</v>
      </c>
      <c r="AZ144"/>
      <c r="BA144" s="44" t="str">
        <f t="shared" ca="1" si="32"/>
        <v>Transform_TO</v>
      </c>
      <c r="BB144" s="44" t="str">
        <f t="shared" si="33"/>
        <v>Finance inputs</v>
      </c>
      <c r="BC144" s="44" t="str">
        <f t="shared" si="34"/>
        <v>Tax pools</v>
      </c>
    </row>
    <row r="145" spans="1:56" ht="16.5">
      <c r="E145" s="43" t="s">
        <v>35</v>
      </c>
      <c r="G145" s="43" t="s">
        <v>33</v>
      </c>
      <c r="H145" s="48" t="s">
        <v>1051</v>
      </c>
      <c r="AU145" s="175">
        <f>NGT_TO!AU526</f>
        <v>3.8270772555380222E-2</v>
      </c>
      <c r="AV145" s="56">
        <f>NGT_TO!AV526</f>
        <v>4.0551261620357382E-2</v>
      </c>
      <c r="AW145" s="56">
        <f>NGT_TO!AW526</f>
        <v>4.0854219606915113E-2</v>
      </c>
      <c r="AX145" s="56">
        <f>NGT_TO!AX526</f>
        <v>3.7620633652247375E-2</v>
      </c>
      <c r="AY145" s="56">
        <f>NGT_TO!AY526</f>
        <v>3.6870458896259076E-2</v>
      </c>
      <c r="AZ145"/>
      <c r="BA145" s="44" t="str">
        <f t="shared" ca="1" si="32"/>
        <v>Transform_TO</v>
      </c>
      <c r="BB145" s="44" t="str">
        <f t="shared" si="33"/>
        <v>Finance inputs</v>
      </c>
      <c r="BC145" s="44" t="str">
        <f t="shared" si="34"/>
        <v>Tax pools</v>
      </c>
    </row>
    <row r="146" spans="1:56" ht="16.5">
      <c r="E146" s="43" t="s">
        <v>36</v>
      </c>
      <c r="G146" s="43" t="s">
        <v>33</v>
      </c>
      <c r="H146" s="48" t="s">
        <v>1052</v>
      </c>
      <c r="AU146" s="175">
        <f>NGT_TO!AU527</f>
        <v>1.5376978456638426E-2</v>
      </c>
      <c r="AV146" s="56">
        <f>NGT_TO!AV527</f>
        <v>1.6293265975318875E-2</v>
      </c>
      <c r="AW146" s="56">
        <f>NGT_TO!AW527</f>
        <v>1.641499276893987E-2</v>
      </c>
      <c r="AX146" s="56">
        <f>NGT_TO!AX527</f>
        <v>1.5115756347969732E-2</v>
      </c>
      <c r="AY146" s="56">
        <f>NGT_TO!AY527</f>
        <v>1.4814340403338523E-2</v>
      </c>
      <c r="AZ146"/>
      <c r="BA146" s="44" t="str">
        <f t="shared" ca="1" si="32"/>
        <v>Transform_TO</v>
      </c>
      <c r="BB146" s="44" t="str">
        <f t="shared" si="33"/>
        <v>Finance inputs</v>
      </c>
      <c r="BC146" s="44" t="str">
        <f t="shared" si="34"/>
        <v>Tax pools</v>
      </c>
    </row>
    <row r="147" spans="1:56" ht="16.5">
      <c r="E147" s="43" t="s">
        <v>38</v>
      </c>
      <c r="G147" s="43" t="s">
        <v>33</v>
      </c>
      <c r="H147" s="48" t="s">
        <v>1053</v>
      </c>
      <c r="AU147" s="175">
        <f>NGT_TO!AU528</f>
        <v>4.5118378636812215E-2</v>
      </c>
      <c r="AV147" s="56">
        <f>NGT_TO!AV528</f>
        <v>4.7806904690522206E-2</v>
      </c>
      <c r="AW147" s="56">
        <f>NGT_TO!AW528</f>
        <v>4.8164069498961286E-2</v>
      </c>
      <c r="AX147" s="56">
        <f>NGT_TO!AX528</f>
        <v>4.4351913492801265E-2</v>
      </c>
      <c r="AY147" s="56">
        <f>NGT_TO!AY528</f>
        <v>4.346751355978503E-2</v>
      </c>
      <c r="AZ147"/>
      <c r="BA147" s="44" t="str">
        <f t="shared" ca="1" si="32"/>
        <v>Transform_TO</v>
      </c>
      <c r="BB147" s="44" t="str">
        <f t="shared" si="33"/>
        <v>Finance inputs</v>
      </c>
      <c r="BC147" s="44" t="str">
        <f t="shared" si="34"/>
        <v>Tax pools</v>
      </c>
    </row>
    <row r="148" spans="1:56" ht="16.5">
      <c r="E148" s="43" t="s">
        <v>37</v>
      </c>
      <c r="G148" s="43" t="s">
        <v>33</v>
      </c>
      <c r="H148" s="48" t="s">
        <v>1054</v>
      </c>
      <c r="AU148" s="175">
        <f>NGT_TO!AU529</f>
        <v>0.24959269499254444</v>
      </c>
      <c r="AV148" s="56">
        <f>NGT_TO!AV529</f>
        <v>0.20487722313024759</v>
      </c>
      <c r="AW148" s="56">
        <f>NGT_TO!AW529</f>
        <v>0.1989368704526448</v>
      </c>
      <c r="AX148" s="56">
        <f>NGT_TO!AX529</f>
        <v>0.26234051662260038</v>
      </c>
      <c r="AY148" s="56">
        <f>NGT_TO!AY529</f>
        <v>0.27704982556354735</v>
      </c>
      <c r="AZ148"/>
      <c r="BA148" s="44" t="str">
        <f t="shared" ca="1" si="32"/>
        <v>Transform_TO</v>
      </c>
      <c r="BB148" s="44" t="str">
        <f t="shared" si="33"/>
        <v>Finance inputs</v>
      </c>
      <c r="BC148" s="44" t="str">
        <f t="shared" si="34"/>
        <v>Tax pools</v>
      </c>
    </row>
    <row r="149" spans="1:56">
      <c r="H149" s="248"/>
      <c r="AZ149"/>
      <c r="BA149" s="44"/>
    </row>
    <row r="150" spans="1:56" ht="20" thickBot="1">
      <c r="A150" s="10" t="s">
        <v>22</v>
      </c>
      <c r="H150" s="248"/>
      <c r="AZ150"/>
      <c r="BA150" s="44"/>
    </row>
    <row r="151" spans="1:56" ht="17" thickTop="1">
      <c r="E151" s="43" t="s">
        <v>258</v>
      </c>
      <c r="F151" s="150" t="str">
        <f>NGT_TO!F61</f>
        <v>SpC 9.7</v>
      </c>
      <c r="G151" s="43" t="str">
        <f>price_label</f>
        <v>£m 23/24 prices</v>
      </c>
      <c r="H151" s="48" t="s">
        <v>1026</v>
      </c>
      <c r="AU151" s="174">
        <f>NGT_TO!AU61</f>
        <v>21.560443218791516</v>
      </c>
      <c r="AV151" s="50">
        <f>NGT_TO!AV61</f>
        <v>16.9980035655318</v>
      </c>
      <c r="AW151" s="50">
        <f>NGT_TO!AW61</f>
        <v>25.288740087641301</v>
      </c>
      <c r="AX151" s="50">
        <f>NGT_TO!AX61</f>
        <v>22.527961313376</v>
      </c>
      <c r="AY151" s="50">
        <f>NGT_TO!AY61</f>
        <v>22.978520539643501</v>
      </c>
      <c r="AZ151"/>
      <c r="BA151" s="44" t="str">
        <f ca="1">$A$1</f>
        <v>Transform_TO</v>
      </c>
      <c r="BB151" s="44" t="str">
        <f>$A$150</f>
        <v>Directly remunerated services</v>
      </c>
    </row>
    <row r="152" spans="1:56" ht="16.5">
      <c r="E152" s="43" t="s">
        <v>259</v>
      </c>
      <c r="F152" s="150" t="str">
        <f>NGT_TO!F62</f>
        <v>SpC 9.7</v>
      </c>
      <c r="G152" s="43" t="str">
        <f>price_label</f>
        <v>£m 23/24 prices</v>
      </c>
      <c r="H152" s="48" t="s">
        <v>1027</v>
      </c>
      <c r="AU152" s="174">
        <f>NGT_TO!AU62</f>
        <v>-21.560443218791516</v>
      </c>
      <c r="AV152" s="50">
        <f>NGT_TO!AV62</f>
        <v>-16.998003565531778</v>
      </c>
      <c r="AW152" s="50">
        <f>NGT_TO!AW62</f>
        <v>-25.288740087641308</v>
      </c>
      <c r="AX152" s="50">
        <f>NGT_TO!AX62</f>
        <v>-22.527961313375986</v>
      </c>
      <c r="AY152" s="50">
        <f>NGT_TO!AY62</f>
        <v>-22.978520539643522</v>
      </c>
      <c r="AZ152"/>
      <c r="BA152" s="44" t="str">
        <f ca="1">$A$1</f>
        <v>Transform_TO</v>
      </c>
      <c r="BB152" s="44" t="str">
        <f>$A$150</f>
        <v>Directly remunerated services</v>
      </c>
    </row>
    <row r="153" spans="1:56">
      <c r="E153" s="43" t="s">
        <v>464</v>
      </c>
      <c r="G153" s="43" t="str">
        <f>price_label</f>
        <v>£m 23/24 prices</v>
      </c>
      <c r="H153" s="150"/>
      <c r="AU153" s="143">
        <f>SUM(AU151:AU152)</f>
        <v>0</v>
      </c>
      <c r="AV153" s="54">
        <f t="shared" ref="AV153:AY153" si="35">SUM(AV151:AV152)</f>
        <v>0</v>
      </c>
      <c r="AW153" s="54">
        <f t="shared" si="35"/>
        <v>0</v>
      </c>
      <c r="AX153" s="54">
        <f t="shared" si="35"/>
        <v>0</v>
      </c>
      <c r="AY153" s="54">
        <f t="shared" si="35"/>
        <v>0</v>
      </c>
      <c r="AZ153"/>
      <c r="BA153" s="44" t="str">
        <f ca="1">$A$1</f>
        <v>Transform_TO</v>
      </c>
      <c r="BB153" s="44" t="str">
        <f>$A$150</f>
        <v>Directly remunerated services</v>
      </c>
    </row>
    <row r="154" spans="1:56">
      <c r="E154" s="43" t="s">
        <v>389</v>
      </c>
      <c r="G154" s="43" t="str">
        <f>price_label</f>
        <v>£m 23/24 prices</v>
      </c>
      <c r="H154" s="150"/>
      <c r="AU154" s="143">
        <f>-AU153</f>
        <v>0</v>
      </c>
      <c r="AV154" s="54">
        <f t="shared" ref="AV154:AY154" si="36">-AV153</f>
        <v>0</v>
      </c>
      <c r="AW154" s="54">
        <f t="shared" si="36"/>
        <v>0</v>
      </c>
      <c r="AX154" s="54">
        <f t="shared" si="36"/>
        <v>0</v>
      </c>
      <c r="AY154" s="54">
        <f t="shared" si="36"/>
        <v>0</v>
      </c>
      <c r="AZ154"/>
      <c r="BA154" s="44" t="str">
        <f ca="1">$A$1</f>
        <v>Transform_TO</v>
      </c>
      <c r="BB154" s="44" t="str">
        <f>$A$150</f>
        <v>Directly remunerated services</v>
      </c>
    </row>
    <row r="155" spans="1:56">
      <c r="H155" s="150"/>
    </row>
    <row r="156" spans="1:56" ht="20" thickBot="1">
      <c r="A156" s="10" t="s">
        <v>23</v>
      </c>
      <c r="H156" s="150"/>
      <c r="AZ156"/>
      <c r="BA156" s="44"/>
    </row>
    <row r="157" spans="1:56" ht="18" thickTop="1" thickBot="1">
      <c r="B157" s="11" t="s">
        <v>116</v>
      </c>
      <c r="H157" s="150"/>
      <c r="AZ157"/>
      <c r="BA157" s="44"/>
    </row>
    <row r="158" spans="1:56" ht="17" thickTop="1" thickBot="1">
      <c r="C158" s="14" t="s">
        <v>117</v>
      </c>
      <c r="H158" s="150"/>
      <c r="AZ158"/>
      <c r="BA158" s="44"/>
    </row>
    <row r="159" spans="1:56">
      <c r="E159" s="43" t="s">
        <v>118</v>
      </c>
      <c r="G159" s="43" t="s">
        <v>106</v>
      </c>
      <c r="H159" s="150"/>
      <c r="I159"/>
      <c r="J159" s="43" t="s">
        <v>10</v>
      </c>
      <c r="AP159" s="54">
        <f t="shared" ref="AP159:AY159" si="37">(AP4=BaseYear)*1</f>
        <v>0</v>
      </c>
      <c r="AQ159" s="54">
        <f t="shared" si="37"/>
        <v>0</v>
      </c>
      <c r="AR159" s="54">
        <f t="shared" si="37"/>
        <v>1</v>
      </c>
      <c r="AS159" s="54">
        <f t="shared" si="37"/>
        <v>0</v>
      </c>
      <c r="AT159" s="87">
        <f t="shared" si="37"/>
        <v>0</v>
      </c>
      <c r="AU159" s="143">
        <f t="shared" si="37"/>
        <v>0</v>
      </c>
      <c r="AV159" s="54">
        <f t="shared" si="37"/>
        <v>0</v>
      </c>
      <c r="AW159" s="54">
        <f t="shared" si="37"/>
        <v>0</v>
      </c>
      <c r="AX159" s="54">
        <f t="shared" si="37"/>
        <v>0</v>
      </c>
      <c r="AY159" s="54">
        <f t="shared" si="37"/>
        <v>0</v>
      </c>
      <c r="AZ159"/>
      <c r="BA159" s="44" t="str">
        <f t="shared" ref="BA159:BA167" ca="1" si="38">$A$1</f>
        <v>Transform_TO</v>
      </c>
      <c r="BB159" s="44" t="str">
        <f>Transform_TO!$A$156</f>
        <v>Finance inputs</v>
      </c>
      <c r="BC159" s="44" t="str">
        <f>Transform_TO!$B$157</f>
        <v>Inflation and price conversion</v>
      </c>
      <c r="BD159" s="44" t="str">
        <f>Transform_TO!$C$158</f>
        <v>Price indices and inflation rates</v>
      </c>
    </row>
    <row r="160" spans="1:56">
      <c r="E160" t="s">
        <v>374</v>
      </c>
      <c r="F160" s="151"/>
      <c r="G160" s="43" t="s">
        <v>101</v>
      </c>
      <c r="H160" s="151"/>
      <c r="I160"/>
      <c r="J160" s="43" t="s">
        <v>10</v>
      </c>
      <c r="K160" s="16"/>
      <c r="L160"/>
      <c r="M160"/>
      <c r="N160"/>
      <c r="O160"/>
      <c r="P160"/>
      <c r="Q160"/>
      <c r="R160"/>
      <c r="S160"/>
      <c r="T160"/>
      <c r="U160"/>
      <c r="V160" s="59">
        <f>YEAR(Transform_TO!V4)</f>
        <v>2002</v>
      </c>
      <c r="W160" s="59">
        <f>YEAR(Transform_TO!W4)</f>
        <v>2003</v>
      </c>
      <c r="X160" s="59">
        <f>YEAR(Transform_TO!X4)</f>
        <v>2004</v>
      </c>
      <c r="Y160" s="59">
        <f>YEAR(Transform_TO!Y4)</f>
        <v>2005</v>
      </c>
      <c r="Z160" s="59">
        <f>YEAR(Transform_TO!Z4)</f>
        <v>2006</v>
      </c>
      <c r="AA160" s="59">
        <f>YEAR(Transform_TO!AA4)</f>
        <v>2007</v>
      </c>
      <c r="AB160" s="59">
        <f>YEAR(Transform_TO!AB4)</f>
        <v>2008</v>
      </c>
      <c r="AC160" s="59">
        <f>YEAR(Transform_TO!AC4)</f>
        <v>2009</v>
      </c>
      <c r="AD160" s="59">
        <f>YEAR(Transform_TO!AD4)</f>
        <v>2010</v>
      </c>
      <c r="AE160" s="59">
        <f>YEAR(Transform_TO!AE4)</f>
        <v>2011</v>
      </c>
      <c r="AF160" s="59">
        <f>YEAR(Transform_TO!AF4)</f>
        <v>2012</v>
      </c>
      <c r="AG160" s="59">
        <f>YEAR(Transform_TO!AG4)</f>
        <v>2013</v>
      </c>
      <c r="AH160" s="59">
        <f>YEAR(Transform_TO!AH4)</f>
        <v>2014</v>
      </c>
      <c r="AI160" s="59">
        <f>YEAR(Transform_TO!AI4)</f>
        <v>2015</v>
      </c>
      <c r="AJ160" s="59">
        <f>YEAR(Transform_TO!AJ4)</f>
        <v>2016</v>
      </c>
      <c r="AK160" s="59">
        <f>YEAR(Transform_TO!AK4)</f>
        <v>2017</v>
      </c>
      <c r="AL160" s="59">
        <f>YEAR(Transform_TO!AL4)</f>
        <v>2018</v>
      </c>
      <c r="AM160" s="59">
        <f>YEAR(Transform_TO!AM4)</f>
        <v>2019</v>
      </c>
      <c r="AN160" s="59">
        <f>YEAR(Transform_TO!AN4)</f>
        <v>2020</v>
      </c>
      <c r="AO160" s="59">
        <f>YEAR(Transform_TO!AO4)</f>
        <v>2021</v>
      </c>
      <c r="AP160" s="59">
        <f>YEAR(Transform_TO!AP4)</f>
        <v>2022</v>
      </c>
      <c r="AQ160" s="59">
        <f>YEAR(Transform_TO!AQ4)</f>
        <v>2023</v>
      </c>
      <c r="AR160" s="59">
        <f>YEAR(Transform_TO!AR4)</f>
        <v>2024</v>
      </c>
      <c r="AS160" s="59">
        <f>YEAR(Transform_TO!AS4)</f>
        <v>2025</v>
      </c>
      <c r="AT160" s="88">
        <f>YEAR(Transform_TO!AT4)</f>
        <v>2026</v>
      </c>
      <c r="AU160" s="180">
        <f>YEAR(Transform_TO!AU4)</f>
        <v>2027</v>
      </c>
      <c r="AV160" s="59">
        <f>YEAR(Transform_TO!AV4)</f>
        <v>2028</v>
      </c>
      <c r="AW160" s="59">
        <f>YEAR(Transform_TO!AW4)</f>
        <v>2029</v>
      </c>
      <c r="AX160" s="59">
        <f>YEAR(Transform_TO!AX4)</f>
        <v>2030</v>
      </c>
      <c r="AY160" s="59">
        <f>YEAR(Transform_TO!AY4)</f>
        <v>2031</v>
      </c>
      <c r="AZ160"/>
      <c r="BA160" s="44" t="str">
        <f t="shared" ca="1" si="38"/>
        <v>Transform_TO</v>
      </c>
      <c r="BB160" s="44" t="str">
        <f>Transform_TO!$A$156</f>
        <v>Finance inputs</v>
      </c>
      <c r="BC160" s="44" t="str">
        <f>Transform_TO!$B$157</f>
        <v>Inflation and price conversion</v>
      </c>
      <c r="BD160" s="44" t="str">
        <f>Transform_TO!$C$158</f>
        <v>Price indices and inflation rates</v>
      </c>
    </row>
    <row r="161" spans="1:56">
      <c r="E161" t="s">
        <v>519</v>
      </c>
      <c r="F161" s="151"/>
      <c r="G161" s="43" t="s">
        <v>102</v>
      </c>
      <c r="H161" s="151"/>
      <c r="I161"/>
      <c r="J161" s="43" t="s">
        <v>10</v>
      </c>
      <c r="K161" s="16"/>
      <c r="L161"/>
      <c r="M161"/>
      <c r="N161"/>
      <c r="O161"/>
      <c r="P161"/>
      <c r="Q161"/>
      <c r="R161"/>
      <c r="S161"/>
      <c r="T161"/>
      <c r="U161"/>
      <c r="V161" s="61">
        <f>AVERAGEIFS(Inflation!$E:$E,Inflation!$A:$A,"&gt;="&amp;DATE(V$160-1,4,1),Inflation!$A:$A,"&lt;="&amp;DATE(V$160,4-1,1))</f>
        <v>74.86666666666666</v>
      </c>
      <c r="W161" s="61">
        <f>AVERAGEIFS(Inflation!$E:$E,Inflation!$A:$A,"&gt;="&amp;DATE(W$160-1,4,1),Inflation!$A:$A,"&lt;="&amp;DATE(W$160,4-1,1))</f>
        <v>75.958333333333329</v>
      </c>
      <c r="X161" s="61">
        <f>AVERAGEIFS(Inflation!$E:$E,Inflation!$A:$A,"&gt;="&amp;DATE(X$160-1,4,1),Inflation!$A:$A,"&lt;="&amp;DATE(X$160,4-1,1))</f>
        <v>76.974999999999994</v>
      </c>
      <c r="Y161" s="61">
        <f>AVERAGEIFS(Inflation!$E:$E,Inflation!$A:$A,"&gt;="&amp;DATE(Y$160-1,4,1),Inflation!$A:$A,"&lt;="&amp;DATE(Y$160,4-1,1))</f>
        <v>78.124999999999986</v>
      </c>
      <c r="Z161" s="61">
        <f>AVERAGEIFS(Inflation!$E:$E,Inflation!$A:$A,"&gt;="&amp;DATE(Z$160-1,4,1),Inflation!$A:$A,"&lt;="&amp;DATE(Z$160,4-1,1))</f>
        <v>79.825000000000003</v>
      </c>
      <c r="AA161" s="61">
        <f>AVERAGEIFS(Inflation!$E:$E,Inflation!$A:$A,"&gt;="&amp;DATE(AA$160-1,4,1),Inflation!$A:$A,"&lt;="&amp;DATE(AA$160,4-1,1))</f>
        <v>81.916666666666671</v>
      </c>
      <c r="AB161" s="61">
        <f>AVERAGEIFS(Inflation!$E:$E,Inflation!$A:$A,"&gt;="&amp;DATE(AB$160-1,4,1),Inflation!$A:$A,"&lt;="&amp;DATE(AB$160,4-1,1))</f>
        <v>83.825000000000003</v>
      </c>
      <c r="AC161" s="61">
        <f>AVERAGEIFS(Inflation!$E:$E,Inflation!$A:$A,"&gt;="&amp;DATE(AC$160-1,4,1),Inflation!$A:$A,"&lt;="&amp;DATE(AC$160,4-1,1))</f>
        <v>86.858333333333334</v>
      </c>
      <c r="AD161" s="61">
        <f>AVERAGEIFS(Inflation!$E:$E,Inflation!$A:$A,"&gt;="&amp;DATE(AD$160-1,4,1),Inflation!$A:$A,"&lt;="&amp;DATE(AD$160,4-1,1))</f>
        <v>88.433333333333337</v>
      </c>
      <c r="AE161" s="61">
        <f>AVERAGEIFS(Inflation!$E:$E,Inflation!$A:$A,"&gt;="&amp;DATE(AE$160-1,4,1),Inflation!$A:$A,"&lt;="&amp;DATE(AE$160,4-1,1))</f>
        <v>90.908333333333317</v>
      </c>
      <c r="AF161" s="61">
        <f>AVERAGEIFS(Inflation!$E:$E,Inflation!$A:$A,"&gt;="&amp;DATE(AF$160-1,4,1),Inflation!$A:$A,"&lt;="&amp;DATE(AF$160,4-1,1))</f>
        <v>94.308333333333351</v>
      </c>
      <c r="AG161" s="61">
        <f>AVERAGEIFS(Inflation!$E:$E,Inflation!$A:$A,"&gt;="&amp;DATE(AG$160-1,4,1),Inflation!$A:$A,"&lt;="&amp;DATE(AG$160,4-1,1))</f>
        <v>96.583333333333314</v>
      </c>
      <c r="AH161" s="61">
        <f>AVERAGEIFS(Inflation!$E:$E,Inflation!$A:$A,"&gt;="&amp;DATE(AH$160-1,4,1),Inflation!$A:$A,"&lt;="&amp;DATE(AH$160,4-1,1))</f>
        <v>98.600000000000009</v>
      </c>
      <c r="AI161" s="61">
        <f>AVERAGEIFS(Inflation!$E:$E,Inflation!$A:$A,"&gt;="&amp;DATE(AI$160-1,4,1),Inflation!$A:$A,"&lt;="&amp;DATE(AI$160,4-1,1))</f>
        <v>99.72499999999998</v>
      </c>
      <c r="AJ161" s="61">
        <f>AVERAGEIFS(Inflation!$E:$E,Inflation!$A:$A,"&gt;="&amp;DATE(AJ$160-1,4,1),Inflation!$A:$A,"&lt;="&amp;DATE(AJ$160,4-1,1))</f>
        <v>100.16666666666667</v>
      </c>
      <c r="AK161" s="61">
        <f>AVERAGEIFS(Inflation!$E:$E,Inflation!$A:$A,"&gt;="&amp;DATE(AK$160-1,4,1),Inflation!$A:$A,"&lt;="&amp;DATE(AK$160,4-1,1))</f>
        <v>101.54166666666667</v>
      </c>
      <c r="AL161" s="61">
        <f>AVERAGEIFS(Inflation!$E:$E,Inflation!$A:$A,"&gt;="&amp;DATE(AL$160-1,4,1),Inflation!$A:$A,"&lt;="&amp;DATE(AL$160,4-1,1))</f>
        <v>104.21666666666665</v>
      </c>
      <c r="AM161" s="61">
        <f>AVERAGEIFS(Inflation!$E:$E,Inflation!$A:$A,"&gt;="&amp;DATE(AM$160-1,4,1),Inflation!$A:$A,"&lt;="&amp;DATE(AM$160,4-1,1))</f>
        <v>106.43333333333334</v>
      </c>
      <c r="AN161" s="61">
        <f>AVERAGEIFS(Inflation!$E:$E,Inflation!$A:$A,"&gt;="&amp;DATE(AN$160-1,4,1),Inflation!$A:$A,"&lt;="&amp;DATE(AN$160,4-1,1))</f>
        <v>108.24166666666663</v>
      </c>
      <c r="AO161" s="61">
        <f>AVERAGEIFS(Inflation!$E:$E,Inflation!$A:$A,"&gt;="&amp;DATE(AO$160-1,4,1),Inflation!$A:$A,"&lt;="&amp;DATE(AO$160,4-1,1))</f>
        <v>109.10833333333335</v>
      </c>
      <c r="AP161" s="61">
        <f>AVERAGEIFS(Inflation!$E:$E,Inflation!$A:$A,"&gt;="&amp;DATE(AP$160-1,4,1),Inflation!$A:$A,"&lt;="&amp;DATE(AP$160,4-1,1))</f>
        <v>113.11666666666667</v>
      </c>
      <c r="AQ161" s="61">
        <f>AVERAGEIFS(Inflation!$E:$E,Inflation!$A:$A,"&gt;="&amp;DATE(AQ$160-1,4,1),Inflation!$A:$A,"&lt;="&amp;DATE(AQ$160,4-1,1))</f>
        <v>123.04166666666664</v>
      </c>
      <c r="AR161" s="61">
        <f>AVERAGEIFS(Inflation!$E:$E,Inflation!$A:$A,"&gt;="&amp;DATE(AR$160-1,4,1),Inflation!$A:$A,"&lt;="&amp;DATE(AR$160,4-1,1))</f>
        <v>129.86666666666665</v>
      </c>
      <c r="AS161" s="61">
        <f>AVERAGEIFS(Inflation!$E:$E,Inflation!$A:$A,"&gt;="&amp;DATE(AS$160-1,4,1),Inflation!$A:$A,"&lt;="&amp;DATE(AS$160,4-1,1))</f>
        <v>134.04166666666663</v>
      </c>
      <c r="AT161" s="89">
        <f>AVERAGEIFS(Inflation!$E:$E,Inflation!$A:$A,"&gt;="&amp;DATE(AT$160-1,4,1),Inflation!$A:$A,"&lt;="&amp;DATE(AT$160,4-1,1))</f>
        <v>139.12627369464536</v>
      </c>
      <c r="AU161" s="96">
        <f>AVERAGEIFS(Inflation!$E:$E,Inflation!$A:$A,"&gt;="&amp;DATE(AU$160-1,4,1),Inflation!$A:$A,"&lt;="&amp;DATE(AU$160,4-1,1))</f>
        <v>142.27859458535951</v>
      </c>
      <c r="AV161" s="61">
        <f>AVERAGEIFS(Inflation!$E:$E,Inflation!$A:$A,"&gt;="&amp;DATE(AV$160-1,4,1),Inflation!$A:$A,"&lt;="&amp;DATE(AV$160,4-1,1))</f>
        <v>145.3177469286837</v>
      </c>
      <c r="AW161" s="61">
        <f>AVERAGEIFS(Inflation!$E:$E,Inflation!$A:$A,"&gt;="&amp;DATE(AW$160-1,4,1),Inflation!$A:$A,"&lt;="&amp;DATE(AW$160,4-1,1))</f>
        <v>148.40102179892503</v>
      </c>
      <c r="AX161" s="61">
        <f>AVERAGEIFS(Inflation!$E:$E,Inflation!$A:$A,"&gt;="&amp;DATE(AX$160-1,4,1),Inflation!$A:$A,"&lt;="&amp;DATE(AX$160,4-1,1))</f>
        <v>151.52770974284005</v>
      </c>
      <c r="AY161" s="61">
        <f>AVERAGEIFS(Inflation!$E:$E,Inflation!$A:$A,"&gt;="&amp;DATE(AY$160-1,4,1),Inflation!$A:$A,"&lt;="&amp;DATE(AY$160,4-1,1))</f>
        <v>154.75776773039104</v>
      </c>
      <c r="AZ161"/>
      <c r="BA161" s="44" t="str">
        <f t="shared" ca="1" si="38"/>
        <v>Transform_TO</v>
      </c>
      <c r="BB161" s="44" t="str">
        <f>Transform_TO!$A$156</f>
        <v>Finance inputs</v>
      </c>
      <c r="BC161" s="44" t="str">
        <f>Transform_TO!$B$157</f>
        <v>Inflation and price conversion</v>
      </c>
      <c r="BD161" s="44" t="str">
        <f>Transform_TO!$C$158</f>
        <v>Price indices and inflation rates</v>
      </c>
    </row>
    <row r="162" spans="1:56">
      <c r="E162" s="43" t="s">
        <v>520</v>
      </c>
      <c r="F162" s="151"/>
      <c r="G162" s="43" t="s">
        <v>33</v>
      </c>
      <c r="H162" s="151"/>
      <c r="I162"/>
      <c r="J162" s="43" t="s">
        <v>10</v>
      </c>
      <c r="K162" s="16"/>
      <c r="L162"/>
      <c r="M162"/>
      <c r="N162"/>
      <c r="O162"/>
      <c r="P162"/>
      <c r="Q162"/>
      <c r="R162"/>
      <c r="S162"/>
      <c r="T162"/>
      <c r="U162"/>
      <c r="V162"/>
      <c r="W162" s="62">
        <f>W161/V161-1</f>
        <v>1.4581478183437246E-2</v>
      </c>
      <c r="X162" s="62">
        <f t="shared" ref="X162:AY162" si="39">X161/W161-1</f>
        <v>1.3384530992868848E-2</v>
      </c>
      <c r="Y162" s="62">
        <f t="shared" si="39"/>
        <v>1.4939915556998917E-2</v>
      </c>
      <c r="Z162" s="62">
        <f t="shared" si="39"/>
        <v>2.1760000000000224E-2</v>
      </c>
      <c r="AA162" s="62">
        <f t="shared" si="39"/>
        <v>2.6203152729930013E-2</v>
      </c>
      <c r="AB162" s="62">
        <f t="shared" si="39"/>
        <v>2.3296032553407953E-2</v>
      </c>
      <c r="AC162" s="62">
        <f t="shared" si="39"/>
        <v>3.6186499652052895E-2</v>
      </c>
      <c r="AD162" s="62">
        <f t="shared" si="39"/>
        <v>1.8132975151108122E-2</v>
      </c>
      <c r="AE162" s="62">
        <f t="shared" si="39"/>
        <v>2.7987184319637981E-2</v>
      </c>
      <c r="AF162" s="62">
        <f t="shared" si="39"/>
        <v>3.7400311669264275E-2</v>
      </c>
      <c r="AG162" s="62">
        <f t="shared" si="39"/>
        <v>2.4123000795263305E-2</v>
      </c>
      <c r="AH162" s="62">
        <f t="shared" si="39"/>
        <v>2.088006902502193E-2</v>
      </c>
      <c r="AI162" s="62">
        <f t="shared" si="39"/>
        <v>1.1409736308316099E-2</v>
      </c>
      <c r="AJ162" s="62">
        <f t="shared" si="39"/>
        <v>4.4288459931480784E-3</v>
      </c>
      <c r="AK162" s="62">
        <f t="shared" si="39"/>
        <v>1.3727121464226277E-2</v>
      </c>
      <c r="AL162" s="62">
        <f t="shared" si="39"/>
        <v>2.6343865408288814E-2</v>
      </c>
      <c r="AM162" s="62">
        <f t="shared" si="39"/>
        <v>2.1269790500559882E-2</v>
      </c>
      <c r="AN162" s="62">
        <f t="shared" si="39"/>
        <v>1.6990291262135582E-2</v>
      </c>
      <c r="AO162" s="62">
        <f t="shared" si="39"/>
        <v>8.0067749634311625E-3</v>
      </c>
      <c r="AP162" s="62">
        <f t="shared" si="39"/>
        <v>3.6737187810280236E-2</v>
      </c>
      <c r="AQ162" s="62">
        <f t="shared" si="39"/>
        <v>8.7741270075143429E-2</v>
      </c>
      <c r="AR162" s="62">
        <f t="shared" si="39"/>
        <v>5.5469014561462915E-2</v>
      </c>
      <c r="AS162" s="62">
        <f t="shared" si="39"/>
        <v>3.2148357289527585E-2</v>
      </c>
      <c r="AT162" s="90">
        <f t="shared" si="39"/>
        <v>3.7933033469533584E-2</v>
      </c>
      <c r="AU162" s="144">
        <f t="shared" si="39"/>
        <v>2.265798405291064E-2</v>
      </c>
      <c r="AV162" s="62">
        <f t="shared" si="39"/>
        <v>2.1360573262486415E-2</v>
      </c>
      <c r="AW162" s="62">
        <f t="shared" si="39"/>
        <v>2.1217469547986312E-2</v>
      </c>
      <c r="AX162" s="62">
        <f t="shared" si="39"/>
        <v>2.1069180697094625E-2</v>
      </c>
      <c r="AY162" s="62">
        <f t="shared" si="39"/>
        <v>2.1316615904990455E-2</v>
      </c>
      <c r="AZ162"/>
      <c r="BA162" s="44" t="str">
        <f t="shared" ca="1" si="38"/>
        <v>Transform_TO</v>
      </c>
      <c r="BB162" s="44" t="str">
        <f>Transform_TO!$A$156</f>
        <v>Finance inputs</v>
      </c>
      <c r="BC162" s="44" t="str">
        <f>Transform_TO!$B$157</f>
        <v>Inflation and price conversion</v>
      </c>
      <c r="BD162" s="44" t="str">
        <f>Transform_TO!$C$158</f>
        <v>Price indices and inflation rates</v>
      </c>
    </row>
    <row r="163" spans="1:56" ht="16.5">
      <c r="E163" t="s">
        <v>234</v>
      </c>
      <c r="F163" s="151"/>
      <c r="G163" s="43" t="s">
        <v>33</v>
      </c>
      <c r="H163" s="4" t="s">
        <v>1104</v>
      </c>
      <c r="I163"/>
      <c r="K163" s="16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 s="77"/>
      <c r="AU163" s="105">
        <f>NGT_TO!AU514</f>
        <v>2.1299999999999999E-2</v>
      </c>
      <c r="AV163" s="60">
        <f>NGT_TO!AV514</f>
        <v>2.1299999999999999E-2</v>
      </c>
      <c r="AW163" s="60">
        <f>NGT_TO!AW514</f>
        <v>2.1299999999999999E-2</v>
      </c>
      <c r="AX163" s="60">
        <f>NGT_TO!AX514</f>
        <v>2.1299999999999999E-2</v>
      </c>
      <c r="AY163" s="60">
        <f>NGT_TO!AY514</f>
        <v>2.1299999999999999E-2</v>
      </c>
      <c r="AZ163"/>
      <c r="BA163" s="44" t="str">
        <f t="shared" ca="1" si="38"/>
        <v>Transform_TO</v>
      </c>
      <c r="BB163" s="44" t="str">
        <f>Transform_TO!$A$156</f>
        <v>Finance inputs</v>
      </c>
      <c r="BC163" s="44" t="str">
        <f>Transform_TO!$B$157</f>
        <v>Inflation and price conversion</v>
      </c>
      <c r="BD163" s="44" t="str">
        <f>Transform_TO!$C$158</f>
        <v>Price indices and inflation rates</v>
      </c>
    </row>
    <row r="164" spans="1:56" ht="16.5">
      <c r="E164" t="s">
        <v>507</v>
      </c>
      <c r="F164" s="151" t="s">
        <v>794</v>
      </c>
      <c r="G164" s="43" t="s">
        <v>102</v>
      </c>
      <c r="H164" s="249" t="s">
        <v>1105</v>
      </c>
      <c r="I164"/>
      <c r="J164" s="43" t="s">
        <v>10</v>
      </c>
      <c r="K164" s="16"/>
      <c r="L164"/>
      <c r="M164"/>
      <c r="N164"/>
      <c r="O164"/>
      <c r="P164"/>
      <c r="Q164"/>
      <c r="R164"/>
      <c r="S164"/>
      <c r="T164"/>
      <c r="U164"/>
      <c r="V164" s="61">
        <f>AVERAGEIFS(Inflation!$F:$F,Inflation!$A:$A,"&gt;="&amp;DATE(V$160-1,4,1),Inflation!$A:$A,"&lt;="&amp;DATE(V$160,4-1,1))</f>
        <v>173.875</v>
      </c>
      <c r="W164" s="61">
        <f>AVERAGEIFS(Inflation!$F:$F,Inflation!$A:$A,"&gt;="&amp;DATE(W$160-1,4,1),Inflation!$A:$A,"&lt;="&amp;DATE(W$160,4-1,1))</f>
        <v>177.51666666666665</v>
      </c>
      <c r="X164" s="61">
        <f>AVERAGEIFS(Inflation!$F:$F,Inflation!$A:$A,"&gt;="&amp;DATE(X$160-1,4,1),Inflation!$A:$A,"&lt;="&amp;DATE(X$160,4-1,1))</f>
        <v>182.47499999999999</v>
      </c>
      <c r="Y164" s="61">
        <f>AVERAGEIFS(Inflation!$F:$F,Inflation!$A:$A,"&gt;="&amp;DATE(Y$160-1,4,1),Inflation!$A:$A,"&lt;="&amp;DATE(Y$160,4-1,1))</f>
        <v>188.15</v>
      </c>
      <c r="Z164" s="61">
        <f>AVERAGEIFS(Inflation!$F:$F,Inflation!$A:$A,"&gt;="&amp;DATE(Z$160-1,4,1),Inflation!$A:$A,"&lt;="&amp;DATE(Z$160,4-1,1))</f>
        <v>193.10833333333332</v>
      </c>
      <c r="AA164" s="61">
        <f>AVERAGEIFS(Inflation!$F:$F,Inflation!$A:$A,"&gt;="&amp;DATE(AA$160-1,4,1),Inflation!$A:$A,"&lt;="&amp;DATE(AA$160,4-1,1))</f>
        <v>200.31666666666669</v>
      </c>
      <c r="AB164" s="61">
        <f>AVERAGEIFS(Inflation!$F:$F,Inflation!$A:$A,"&gt;="&amp;DATE(AB$160-1,4,1),Inflation!$A:$A,"&lt;="&amp;DATE(AB$160,4-1,1))</f>
        <v>208.5916666666667</v>
      </c>
      <c r="AC164" s="61">
        <f>AVERAGEIFS(Inflation!$F:$F,Inflation!$A:$A,"&gt;="&amp;DATE(AC$160-1,4,1),Inflation!$A:$A,"&lt;="&amp;DATE(AC$160,4-1,1))</f>
        <v>214.78333333333339</v>
      </c>
      <c r="AD164" s="61">
        <f>AVERAGEIFS(Inflation!$F:$F,Inflation!$A:$A,"&gt;="&amp;DATE(AD$160-1,4,1),Inflation!$A:$A,"&lt;="&amp;DATE(AD$160,4-1,1))</f>
        <v>215.76666666666662</v>
      </c>
      <c r="AE164" s="61">
        <f>AVERAGEIFS(Inflation!$F:$F,Inflation!$A:$A,"&gt;="&amp;DATE(AE$160-1,4,1),Inflation!$A:$A,"&lt;="&amp;DATE(AE$160,4-1,1))</f>
        <v>226.47499999999999</v>
      </c>
      <c r="AF164" s="61">
        <f>AVERAGEIFS(Inflation!$F:$F,Inflation!$A:$A,"&gt;="&amp;DATE(AF$160-1,4,1),Inflation!$A:$A,"&lt;="&amp;DATE(AF$160,4-1,1))</f>
        <v>237.3416666666667</v>
      </c>
      <c r="AG164" s="61">
        <f>AVERAGEIFS(Inflation!$F:$F,Inflation!$A:$A,"&gt;="&amp;DATE(AG$160-1,4,1),Inflation!$A:$A,"&lt;="&amp;DATE(AG$160,4-1,1))</f>
        <v>244.67499999999998</v>
      </c>
      <c r="AH164" s="61">
        <f>AVERAGEIFS(Inflation!$F:$F,Inflation!$A:$A,"&gt;="&amp;DATE(AH$160-1,4,1),Inflation!$A:$A,"&lt;="&amp;DATE(AH$160,4-1,1))</f>
        <v>251.73333333333335</v>
      </c>
      <c r="AI164" s="61">
        <f>AVERAGEIFS(Inflation!$F:$F,Inflation!$A:$A,"&gt;="&amp;DATE(AI$160-1,4,1),Inflation!$A:$A,"&lt;="&amp;DATE(AI$160,4-1,1))</f>
        <v>256.66666666666669</v>
      </c>
      <c r="AJ164" s="61">
        <f>AVERAGEIFS(Inflation!$F:$F,Inflation!$A:$A,"&gt;="&amp;DATE(AJ$160-1,4,1),Inflation!$A:$A,"&lt;="&amp;DATE(AJ$160,4-1,1))</f>
        <v>259.43333333333334</v>
      </c>
      <c r="AK164" s="61">
        <f>AVERAGEIFS(Inflation!$F:$F,Inflation!$A:$A,"&gt;="&amp;DATE(AK$160-1,4,1),Inflation!$A:$A,"&lt;="&amp;DATE(AK$160,4-1,1))</f>
        <v>264.99166666666673</v>
      </c>
      <c r="AL164" s="61">
        <f>AVERAGEIFS(Inflation!$F:$F,Inflation!$A:$A,"&gt;="&amp;DATE(AL$160-1,4,1),Inflation!$A:$A,"&lt;="&amp;DATE(AL$160,4-1,1))</f>
        <v>274.90833333333336</v>
      </c>
      <c r="AM164" s="61">
        <f>AVERAGEIFS(Inflation!$F:$F,Inflation!$A:$A,"&gt;="&amp;DATE(AM$160-1,4,1),Inflation!$A:$A,"&lt;="&amp;DATE(AM$160,4-1,1))</f>
        <v>283.30833333333334</v>
      </c>
      <c r="AN164" s="61">
        <f>AVERAGEIFS(Inflation!$F:$F,Inflation!$A:$A,"&gt;="&amp;DATE(AN$160-1,4,1),Inflation!$A:$A,"&lt;="&amp;DATE(AN$160,4-1,1))</f>
        <v>290.64166666666665</v>
      </c>
      <c r="AO164" s="61">
        <f>AVERAGEIFS(Inflation!$F:$F,Inflation!$A:$A,"&gt;="&amp;DATE(AO$160-1,4,1),Inflation!$A:$A,"&lt;="&amp;DATE(AO$160,4-1,1))</f>
        <v>294.16666666666669</v>
      </c>
      <c r="AP164" s="61">
        <f>AVERAGEIFS(Inflation!$F:$F,Inflation!$A:$A,"&gt;="&amp;DATE(AP$160-1,4,1),Inflation!$A:$A,"&lt;="&amp;DATE(AP$160,4-1,1))</f>
        <v>307.32821397646848</v>
      </c>
      <c r="AQ164" s="61">
        <f>AVERAGEIFS(Inflation!$F:$F,Inflation!$A:$A,"&gt;="&amp;DATE(AQ$160-1,4,1),Inflation!$A:$A,"&lt;="&amp;DATE(AQ$160,4-1,1))</f>
        <v>334.29358180068937</v>
      </c>
      <c r="AR164" s="61">
        <f>AVERAGEIFS(Inflation!$F:$F,Inflation!$A:$A,"&gt;="&amp;DATE(AR$160-1,4,1),Inflation!$A:$A,"&lt;="&amp;DATE(AR$160,4-1,1))</f>
        <v>352.83651735739545</v>
      </c>
      <c r="AS164" s="61">
        <f>AVERAGEIFS(Inflation!$F:$F,Inflation!$A:$A,"&gt;="&amp;DATE(AS$160-1,4,1),Inflation!$A:$A,"&lt;="&amp;DATE(AS$160,4-1,1))</f>
        <v>364.17963178219367</v>
      </c>
      <c r="AT164" s="89">
        <f>AVERAGEIFS(Inflation!$F:$F,Inflation!$A:$A,"&gt;="&amp;DATE(AT$160-1,4,1),Inflation!$A:$A,"&lt;="&amp;DATE(AT$160,4-1,1))</f>
        <v>377.99406994350988</v>
      </c>
      <c r="AU164" s="96">
        <f>AVERAGEIFS(Inflation!$F:$F,Inflation!$A:$A,"&gt;="&amp;DATE(AU$160-1,4,1),Inflation!$A:$A,"&lt;="&amp;DATE(AU$160,4-1,1))</f>
        <v>386.55865355238467</v>
      </c>
      <c r="AV164" s="61">
        <f>AVERAGEIFS(Inflation!$F:$F,Inflation!$A:$A,"&gt;="&amp;DATE(AV$160-1,4,1),Inflation!$A:$A,"&lt;="&amp;DATE(AV$160,4-1,1))</f>
        <v>394.81576799183853</v>
      </c>
      <c r="AW164" s="61">
        <f>AVERAGEIFS(Inflation!$F:$F,Inflation!$A:$A,"&gt;="&amp;DATE(AW$160-1,4,1),Inflation!$A:$A,"&lt;="&amp;DATE(AW$160,4-1,1))</f>
        <v>403.19275952627032</v>
      </c>
      <c r="AX164" s="61">
        <f>AVERAGEIFS(Inflation!$F:$F,Inflation!$A:$A,"&gt;="&amp;DATE(AX$160-1,4,1),Inflation!$A:$A,"&lt;="&amp;DATE(AX$160,4-1,1))</f>
        <v>411.68770063248934</v>
      </c>
      <c r="AY164" s="61">
        <f>AVERAGEIFS(Inflation!$F:$F,Inflation!$A:$A,"&gt;="&amp;DATE(AY$160-1,4,1),Inflation!$A:$A,"&lt;="&amp;DATE(AY$160,4-1,1))</f>
        <v>420.46348921968098</v>
      </c>
      <c r="AZ164"/>
      <c r="BA164" s="44" t="str">
        <f t="shared" ca="1" si="38"/>
        <v>Transform_TO</v>
      </c>
      <c r="BB164" s="44" t="str">
        <f>Transform_TO!$A$156</f>
        <v>Finance inputs</v>
      </c>
      <c r="BC164" s="44" t="str">
        <f>Transform_TO!$B$157</f>
        <v>Inflation and price conversion</v>
      </c>
      <c r="BD164" s="44" t="str">
        <f>Transform_TO!$C$158</f>
        <v>Price indices and inflation rates</v>
      </c>
    </row>
    <row r="165" spans="1:56">
      <c r="E165" t="s">
        <v>509</v>
      </c>
      <c r="F165" s="151"/>
      <c r="G165" s="43" t="s">
        <v>102</v>
      </c>
      <c r="H165" s="151"/>
      <c r="I165"/>
      <c r="J165" s="43" t="s">
        <v>10</v>
      </c>
      <c r="K165" s="16"/>
      <c r="L165"/>
      <c r="M165"/>
      <c r="N165"/>
      <c r="O165"/>
      <c r="P165"/>
      <c r="Q165"/>
      <c r="R165"/>
      <c r="S165"/>
      <c r="T165"/>
      <c r="U165"/>
      <c r="V165" s="61">
        <f>AVERAGEIFS(Inflation!$F:$F,Inflation!$A:$A,"&gt;="&amp;DATE(V$160,4 - 1, 1),Inflation!$A:$A,"&lt;="&amp;DATE(V$160, 4, 1))</f>
        <v>175.1</v>
      </c>
      <c r="W165" s="61">
        <f>AVERAGEIFS(Inflation!$F:$F,Inflation!$A:$A,"&gt;="&amp;DATE(W$160,4 - 1, 1),Inflation!$A:$A,"&lt;="&amp;DATE(W$160, 4, 1))</f>
        <v>180.55</v>
      </c>
      <c r="X165" s="61">
        <f>AVERAGEIFS(Inflation!$F:$F,Inflation!$A:$A,"&gt;="&amp;DATE(X$160,4 - 1, 1),Inflation!$A:$A,"&lt;="&amp;DATE(X$160, 4, 1))</f>
        <v>185.14999999999998</v>
      </c>
      <c r="Y165" s="61">
        <f>AVERAGEIFS(Inflation!$F:$F,Inflation!$A:$A,"&gt;="&amp;DATE(Y$160,4 - 1, 1),Inflation!$A:$A,"&lt;="&amp;DATE(Y$160, 4, 1))</f>
        <v>191.05</v>
      </c>
      <c r="Z165" s="61">
        <f>AVERAGEIFS(Inflation!$F:$F,Inflation!$A:$A,"&gt;="&amp;DATE(Z$160,4 - 1, 1),Inflation!$A:$A,"&lt;="&amp;DATE(Z$160, 4, 1))</f>
        <v>195.75</v>
      </c>
      <c r="AA165" s="61">
        <f>AVERAGEIFS(Inflation!$F:$F,Inflation!$A:$A,"&gt;="&amp;DATE(AA$160,4 - 1, 1),Inflation!$A:$A,"&lt;="&amp;DATE(AA$160, 4, 1))</f>
        <v>204.9</v>
      </c>
      <c r="AB165" s="61">
        <f>AVERAGEIFS(Inflation!$F:$F,Inflation!$A:$A,"&gt;="&amp;DATE(AB$160,4 - 1, 1),Inflation!$A:$A,"&lt;="&amp;DATE(AB$160, 4, 1))</f>
        <v>213.05</v>
      </c>
      <c r="AC165" s="61">
        <f>AVERAGEIFS(Inflation!$F:$F,Inflation!$A:$A,"&gt;="&amp;DATE(AC$160,4 - 1, 1),Inflation!$A:$A,"&lt;="&amp;DATE(AC$160, 4, 1))</f>
        <v>211.4</v>
      </c>
      <c r="AD165" s="61">
        <f>AVERAGEIFS(Inflation!$F:$F,Inflation!$A:$A,"&gt;="&amp;DATE(AD$160,4 - 1, 1),Inflation!$A:$A,"&lt;="&amp;DATE(AD$160, 4, 1))</f>
        <v>221.75</v>
      </c>
      <c r="AE165" s="61">
        <f>AVERAGEIFS(Inflation!$F:$F,Inflation!$A:$A,"&gt;="&amp;DATE(AE$160,4 - 1, 1),Inflation!$A:$A,"&lt;="&amp;DATE(AE$160, 4, 1))</f>
        <v>233.45</v>
      </c>
      <c r="AF165" s="61">
        <f>AVERAGEIFS(Inflation!$F:$F,Inflation!$A:$A,"&gt;="&amp;DATE(AF$160,4 - 1, 1),Inflation!$A:$A,"&lt;="&amp;DATE(AF$160, 4, 1))</f>
        <v>241.65</v>
      </c>
      <c r="AG165" s="61">
        <f>AVERAGEIFS(Inflation!$F:$F,Inflation!$A:$A,"&gt;="&amp;DATE(AG$160,4 - 1, 1),Inflation!$A:$A,"&lt;="&amp;DATE(AG$160, 4, 1))</f>
        <v>249.1</v>
      </c>
      <c r="AH165" s="61">
        <f>AVERAGEIFS(Inflation!$F:$F,Inflation!$A:$A,"&gt;="&amp;DATE(AH$160,4 - 1, 1),Inflation!$A:$A,"&lt;="&amp;DATE(AH$160, 4, 1))</f>
        <v>255.25</v>
      </c>
      <c r="AI165" s="61">
        <f>AVERAGEIFS(Inflation!$F:$F,Inflation!$A:$A,"&gt;="&amp;DATE(AI$160,4 - 1, 1),Inflation!$A:$A,"&lt;="&amp;DATE(AI$160, 4, 1))</f>
        <v>257.55</v>
      </c>
      <c r="AJ165" s="61">
        <f>AVERAGEIFS(Inflation!$F:$F,Inflation!$A:$A,"&gt;="&amp;DATE(AJ$160,4 - 1, 1),Inflation!$A:$A,"&lt;="&amp;DATE(AJ$160, 4, 1))</f>
        <v>261.25</v>
      </c>
      <c r="AK165" s="61">
        <f>AVERAGEIFS(Inflation!$F:$F,Inflation!$A:$A,"&gt;="&amp;DATE(AK$160,4 - 1, 1),Inflation!$A:$A,"&lt;="&amp;DATE(AK$160, 4, 1))</f>
        <v>269.95000000000005</v>
      </c>
      <c r="AL165" s="61">
        <f>AVERAGEIFS(Inflation!$F:$F,Inflation!$A:$A,"&gt;="&amp;DATE(AL$160,4 - 1, 1),Inflation!$A:$A,"&lt;="&amp;DATE(AL$160, 4, 1))</f>
        <v>279</v>
      </c>
      <c r="AM165" s="61">
        <f>AVERAGEIFS(Inflation!$F:$F,Inflation!$A:$A,"&gt;="&amp;DATE(AM$160,4 - 1, 1),Inflation!$A:$A,"&lt;="&amp;DATE(AM$160, 4, 1))</f>
        <v>286.64999999999998</v>
      </c>
      <c r="AN165" s="61">
        <f>AVERAGEIFS(Inflation!$F:$F,Inflation!$A:$A,"&gt;="&amp;DATE(AN$160,4 - 1, 1),Inflation!$A:$A,"&lt;="&amp;DATE(AN$160, 4, 1))</f>
        <v>292.60000000000002</v>
      </c>
      <c r="AO165" s="61">
        <f>AVERAGEIFS(Inflation!$F:$F,Inflation!$A:$A,"&gt;="&amp;DATE(AO$160,4 - 1, 1),Inflation!$A:$A,"&lt;="&amp;DATE(AO$160, 4, 1))</f>
        <v>298.42363263445759</v>
      </c>
      <c r="AP165" s="61">
        <f>AVERAGEIFS(Inflation!$F:$F,Inflation!$A:$A,"&gt;="&amp;DATE(AP$160,4 - 1, 1),Inflation!$A:$A,"&lt;="&amp;DATE(AP$160, 4, 1))</f>
        <v>319.91658048382931</v>
      </c>
      <c r="AQ165" s="61">
        <f>AVERAGEIFS(Inflation!$F:$F,Inflation!$A:$A,"&gt;="&amp;DATE(AQ$160,4 - 1, 1),Inflation!$A:$A,"&lt;="&amp;DATE(AQ$160, 4, 1))</f>
        <v>346.54233410371501</v>
      </c>
      <c r="AR165" s="61">
        <f>AVERAGEIFS(Inflation!$F:$F,Inflation!$A:$A,"&gt;="&amp;DATE(AR$160,4 - 1, 1),Inflation!$A:$A,"&lt;="&amp;DATE(AR$160, 4, 1))</f>
        <v>358.36090841458258</v>
      </c>
      <c r="AS165" s="61">
        <f>AVERAGEIFS(Inflation!$F:$F,Inflation!$A:$A,"&gt;="&amp;DATE(AS$160,4 - 1, 1),Inflation!$A:$A,"&lt;="&amp;DATE(AS$160, 4, 1))</f>
        <v>371.94547658799365</v>
      </c>
      <c r="AT165" s="89">
        <f>AVERAGEIFS(Inflation!$F:$F,Inflation!$A:$A,"&gt;="&amp;DATE(AT$160,4 - 1, 1),Inflation!$A:$A,"&lt;="&amp;DATE(AT$160, 4, 1))</f>
        <v>382.19593180202537</v>
      </c>
      <c r="AU165" s="96">
        <f>AVERAGEIFS(Inflation!$F:$F,Inflation!$A:$A,"&gt;="&amp;DATE(AU$160,4 - 1, 1),Inflation!$A:$A,"&lt;="&amp;DATE(AU$160, 4, 1))</f>
        <v>390.70407927094971</v>
      </c>
      <c r="AV165" s="61">
        <f>AVERAGEIFS(Inflation!$F:$F,Inflation!$A:$A,"&gt;="&amp;DATE(AV$160,4 - 1, 1),Inflation!$A:$A,"&lt;="&amp;DATE(AV$160, 4, 1))</f>
        <v>398.97911160768535</v>
      </c>
      <c r="AW165" s="61">
        <f>AVERAGEIFS(Inflation!$F:$F,Inflation!$A:$A,"&gt;="&amp;DATE(AW$160,4 - 1, 1),Inflation!$A:$A,"&lt;="&amp;DATE(AW$160, 4, 1))</f>
        <v>407.40632656205833</v>
      </c>
      <c r="AX165" s="61">
        <f>AVERAGEIFS(Inflation!$F:$F,Inflation!$A:$A,"&gt;="&amp;DATE(AX$160,4 - 1, 1),Inflation!$A:$A,"&lt;="&amp;DATE(AX$160, 4, 1))</f>
        <v>416.03710193702761</v>
      </c>
      <c r="AY165" s="61">
        <f>AVERAGEIFS(Inflation!$F:$F,Inflation!$A:$A,"&gt;="&amp;DATE(AY$160,4 - 1, 1),Inflation!$A:$A,"&lt;="&amp;DATE(AY$160, 4, 1))</f>
        <v>424.54748727600787</v>
      </c>
      <c r="AZ165"/>
      <c r="BA165" s="44" t="str">
        <f t="shared" ca="1" si="38"/>
        <v>Transform_TO</v>
      </c>
      <c r="BB165" s="44" t="str">
        <f>Transform_TO!$A$156</f>
        <v>Finance inputs</v>
      </c>
      <c r="BC165" s="44" t="str">
        <f>Transform_TO!$B$157</f>
        <v>Inflation and price conversion</v>
      </c>
      <c r="BD165" s="44" t="str">
        <f>Transform_TO!$C$158</f>
        <v>Price indices and inflation rates</v>
      </c>
    </row>
    <row r="166" spans="1:56">
      <c r="E166" t="s">
        <v>555</v>
      </c>
      <c r="F166" s="151"/>
      <c r="G166" s="43" t="s">
        <v>102</v>
      </c>
      <c r="H166" s="151"/>
      <c r="I166"/>
      <c r="J166" s="43" t="s">
        <v>10</v>
      </c>
      <c r="K166" s="16"/>
      <c r="L166"/>
      <c r="M166"/>
      <c r="N166"/>
      <c r="O166"/>
      <c r="P166"/>
      <c r="Q166"/>
      <c r="R166"/>
      <c r="S166"/>
      <c r="T166"/>
      <c r="U166"/>
      <c r="V166" s="61">
        <f t="shared" ref="V166:AY166" si="40">IF(_2026,V165,V164)</f>
        <v>173.875</v>
      </c>
      <c r="W166" s="61">
        <f t="shared" si="40"/>
        <v>177.51666666666665</v>
      </c>
      <c r="X166" s="61">
        <f t="shared" si="40"/>
        <v>182.47499999999999</v>
      </c>
      <c r="Y166" s="61">
        <f t="shared" si="40"/>
        <v>188.15</v>
      </c>
      <c r="Z166" s="61">
        <f t="shared" si="40"/>
        <v>193.10833333333332</v>
      </c>
      <c r="AA166" s="61">
        <f t="shared" si="40"/>
        <v>200.31666666666669</v>
      </c>
      <c r="AB166" s="61">
        <f t="shared" si="40"/>
        <v>208.5916666666667</v>
      </c>
      <c r="AC166" s="61">
        <f t="shared" si="40"/>
        <v>214.78333333333339</v>
      </c>
      <c r="AD166" s="61">
        <f t="shared" si="40"/>
        <v>215.76666666666662</v>
      </c>
      <c r="AE166" s="61">
        <f t="shared" si="40"/>
        <v>226.47499999999999</v>
      </c>
      <c r="AF166" s="61">
        <f t="shared" si="40"/>
        <v>237.3416666666667</v>
      </c>
      <c r="AG166" s="61">
        <f t="shared" si="40"/>
        <v>244.67499999999998</v>
      </c>
      <c r="AH166" s="61">
        <f t="shared" si="40"/>
        <v>251.73333333333335</v>
      </c>
      <c r="AI166" s="61">
        <f t="shared" si="40"/>
        <v>256.66666666666669</v>
      </c>
      <c r="AJ166" s="61">
        <f t="shared" si="40"/>
        <v>259.43333333333334</v>
      </c>
      <c r="AK166" s="61">
        <f t="shared" si="40"/>
        <v>264.99166666666673</v>
      </c>
      <c r="AL166" s="61">
        <f t="shared" si="40"/>
        <v>274.90833333333336</v>
      </c>
      <c r="AM166" s="61">
        <f t="shared" si="40"/>
        <v>283.30833333333334</v>
      </c>
      <c r="AN166" s="61">
        <f t="shared" si="40"/>
        <v>290.64166666666665</v>
      </c>
      <c r="AO166" s="61">
        <f t="shared" si="40"/>
        <v>294.16666666666669</v>
      </c>
      <c r="AP166" s="61">
        <f t="shared" si="40"/>
        <v>307.32821397646848</v>
      </c>
      <c r="AQ166" s="61">
        <f t="shared" si="40"/>
        <v>334.29358180068937</v>
      </c>
      <c r="AR166" s="61">
        <f t="shared" si="40"/>
        <v>352.83651735739545</v>
      </c>
      <c r="AS166" s="61">
        <f t="shared" si="40"/>
        <v>364.17963178219367</v>
      </c>
      <c r="AT166" s="89">
        <f t="shared" si="40"/>
        <v>382.19593180202537</v>
      </c>
      <c r="AU166" s="96">
        <f t="shared" si="40"/>
        <v>386.55865355238467</v>
      </c>
      <c r="AV166" s="61">
        <f t="shared" si="40"/>
        <v>394.81576799183853</v>
      </c>
      <c r="AW166" s="61">
        <f t="shared" si="40"/>
        <v>403.19275952627032</v>
      </c>
      <c r="AX166" s="61">
        <f t="shared" si="40"/>
        <v>411.68770063248934</v>
      </c>
      <c r="AY166" s="61">
        <f t="shared" si="40"/>
        <v>420.46348921968098</v>
      </c>
      <c r="AZ166"/>
      <c r="BA166" s="44" t="str">
        <f t="shared" ca="1" si="38"/>
        <v>Transform_TO</v>
      </c>
      <c r="BB166" s="44" t="str">
        <f>Transform_TO!$A$156</f>
        <v>Finance inputs</v>
      </c>
      <c r="BC166" s="44" t="str">
        <f>Transform_TO!$B$157</f>
        <v>Inflation and price conversion</v>
      </c>
      <c r="BD166" s="44" t="str">
        <f>Transform_TO!$C$158</f>
        <v>Price indices and inflation rates</v>
      </c>
    </row>
    <row r="167" spans="1:56">
      <c r="E167" t="s">
        <v>508</v>
      </c>
      <c r="F167" s="151"/>
      <c r="G167" s="43" t="s">
        <v>33</v>
      </c>
      <c r="H167" s="151"/>
      <c r="I167"/>
      <c r="J167" s="43" t="s">
        <v>10</v>
      </c>
      <c r="K167" s="16"/>
      <c r="L167"/>
      <c r="M167"/>
      <c r="N167"/>
      <c r="O167"/>
      <c r="P167"/>
      <c r="Q167"/>
      <c r="R167"/>
      <c r="S167"/>
      <c r="T167"/>
      <c r="U167"/>
      <c r="V167"/>
      <c r="W167" s="62">
        <f t="shared" ref="W167:AY167" si="41">W166/V166-1</f>
        <v>2.0944164869398429E-2</v>
      </c>
      <c r="X167" s="62">
        <f t="shared" si="41"/>
        <v>2.7931649610365206E-2</v>
      </c>
      <c r="Y167" s="62">
        <f t="shared" si="41"/>
        <v>3.1100150705576146E-2</v>
      </c>
      <c r="Z167" s="62">
        <f t="shared" si="41"/>
        <v>2.635308707591455E-2</v>
      </c>
      <c r="AA167" s="62">
        <f t="shared" si="41"/>
        <v>3.7327924739999352E-2</v>
      </c>
      <c r="AB167" s="62">
        <f t="shared" si="41"/>
        <v>4.1309593144188472E-2</v>
      </c>
      <c r="AC167" s="62">
        <f t="shared" si="41"/>
        <v>2.9683192840877393E-2</v>
      </c>
      <c r="AD167" s="62">
        <f t="shared" si="41"/>
        <v>4.57825715837612E-3</v>
      </c>
      <c r="AE167" s="62">
        <f t="shared" si="41"/>
        <v>4.9629229105515371E-2</v>
      </c>
      <c r="AF167" s="62">
        <f t="shared" si="41"/>
        <v>4.7981749273282803E-2</v>
      </c>
      <c r="AG167" s="62">
        <f t="shared" si="41"/>
        <v>3.0897791510129391E-2</v>
      </c>
      <c r="AH167" s="62">
        <f t="shared" si="41"/>
        <v>2.8847791287762714E-2</v>
      </c>
      <c r="AI167" s="62">
        <f t="shared" si="41"/>
        <v>1.9597457627118731E-2</v>
      </c>
      <c r="AJ167" s="62">
        <f t="shared" si="41"/>
        <v>1.0779220779220777E-2</v>
      </c>
      <c r="AK167" s="62">
        <f t="shared" si="41"/>
        <v>2.1424900424001248E-2</v>
      </c>
      <c r="AL167" s="62">
        <f t="shared" si="41"/>
        <v>3.7422560457875953E-2</v>
      </c>
      <c r="AM167" s="62">
        <f t="shared" si="41"/>
        <v>3.0555639758707454E-2</v>
      </c>
      <c r="AN167" s="62">
        <f t="shared" si="41"/>
        <v>2.5884636879724532E-2</v>
      </c>
      <c r="AO167" s="62">
        <f t="shared" si="41"/>
        <v>1.2128336726209277E-2</v>
      </c>
      <c r="AP167" s="62">
        <f t="shared" si="41"/>
        <v>4.4741803886011677E-2</v>
      </c>
      <c r="AQ167" s="62">
        <f t="shared" si="41"/>
        <v>8.7741270075143651E-2</v>
      </c>
      <c r="AR167" s="62">
        <f t="shared" si="41"/>
        <v>5.5469014561463137E-2</v>
      </c>
      <c r="AS167" s="62">
        <f t="shared" si="41"/>
        <v>3.2148357289527807E-2</v>
      </c>
      <c r="AT167" s="90">
        <f t="shared" si="41"/>
        <v>4.9470916129122688E-2</v>
      </c>
      <c r="AU167" s="144">
        <f t="shared" si="41"/>
        <v>1.1414882753433275E-2</v>
      </c>
      <c r="AV167" s="62">
        <f t="shared" si="41"/>
        <v>2.1360573262486415E-2</v>
      </c>
      <c r="AW167" s="62">
        <f t="shared" si="41"/>
        <v>2.1217469547986756E-2</v>
      </c>
      <c r="AX167" s="62">
        <f t="shared" si="41"/>
        <v>2.1069180697094181E-2</v>
      </c>
      <c r="AY167" s="62">
        <f t="shared" si="41"/>
        <v>2.1316615904990899E-2</v>
      </c>
      <c r="AZ167"/>
      <c r="BA167" s="44" t="str">
        <f t="shared" ca="1" si="38"/>
        <v>Transform_TO</v>
      </c>
      <c r="BB167" s="44" t="str">
        <f>Transform_TO!$A$156</f>
        <v>Finance inputs</v>
      </c>
      <c r="BC167" s="44" t="str">
        <f>Transform_TO!$B$157</f>
        <v>Inflation and price conversion</v>
      </c>
      <c r="BD167" s="44" t="str">
        <f>Transform_TO!$C$158</f>
        <v>Price indices and inflation rates</v>
      </c>
    </row>
    <row r="168" spans="1:56" customFormat="1">
      <c r="A168" s="8"/>
      <c r="B168" s="8"/>
      <c r="F168" s="151"/>
      <c r="G168" s="43"/>
      <c r="H168" s="151"/>
      <c r="K168" s="16"/>
      <c r="AT168" s="77"/>
      <c r="BA168" s="44"/>
      <c r="BB168" s="1"/>
      <c r="BC168" s="1"/>
      <c r="BD168" s="1"/>
    </row>
    <row r="169" spans="1:56" ht="16.5" thickBot="1">
      <c r="C169" s="14" t="s">
        <v>119</v>
      </c>
      <c r="H169" s="150"/>
      <c r="AZ169"/>
      <c r="BA169" s="44"/>
    </row>
    <row r="170" spans="1:56">
      <c r="E170" s="43" t="s">
        <v>120</v>
      </c>
      <c r="G170" s="43" t="s">
        <v>21</v>
      </c>
      <c r="H170" s="150"/>
      <c r="J170" s="43" t="s">
        <v>10</v>
      </c>
      <c r="L170"/>
      <c r="M170"/>
      <c r="N170"/>
      <c r="O170"/>
      <c r="P170"/>
      <c r="Q170"/>
      <c r="R170"/>
      <c r="S170"/>
      <c r="T170"/>
      <c r="U170"/>
      <c r="V170" s="63">
        <f t="shared" ref="V170:AY170" si="42">V166/INDEX($K166:$AY166,MATCH(BaseYear,$K$4:$AY$4,0))</f>
        <v>0.49279196298119676</v>
      </c>
      <c r="W170" s="63">
        <f t="shared" si="42"/>
        <v>0.50311307910018943</v>
      </c>
      <c r="X170" s="63">
        <f t="shared" si="42"/>
        <v>0.51716585734000786</v>
      </c>
      <c r="Y170" s="63">
        <f t="shared" si="42"/>
        <v>0.53324979344306067</v>
      </c>
      <c r="Z170" s="63">
        <f t="shared" si="42"/>
        <v>0.54730257168287899</v>
      </c>
      <c r="AA170" s="63">
        <f t="shared" si="42"/>
        <v>0.5677322408886657</v>
      </c>
      <c r="AB170" s="63">
        <f t="shared" si="42"/>
        <v>0.59118502877461476</v>
      </c>
      <c r="AC170" s="63">
        <f t="shared" si="42"/>
        <v>0.60873328798837134</v>
      </c>
      <c r="AD170" s="63">
        <f t="shared" si="42"/>
        <v>0.61152022552164598</v>
      </c>
      <c r="AE170" s="63">
        <f t="shared" si="42"/>
        <v>0.64186950289671618</v>
      </c>
      <c r="AF170" s="63">
        <f t="shared" si="42"/>
        <v>0.67266752445087308</v>
      </c>
      <c r="AG170" s="63">
        <f t="shared" si="42"/>
        <v>0.69345146537699098</v>
      </c>
      <c r="AH170" s="63">
        <f t="shared" si="42"/>
        <v>0.71345600851837965</v>
      </c>
      <c r="AI170" s="63">
        <f t="shared" si="42"/>
        <v>0.72743793241413179</v>
      </c>
      <c r="AJ170" s="63">
        <f t="shared" si="42"/>
        <v>0.73527914649080361</v>
      </c>
      <c r="AK170" s="63">
        <f t="shared" si="42"/>
        <v>0.75103242898821365</v>
      </c>
      <c r="AL170" s="63">
        <f t="shared" si="42"/>
        <v>0.77913798546785051</v>
      </c>
      <c r="AM170" s="63">
        <f t="shared" si="42"/>
        <v>0.80294504507413111</v>
      </c>
      <c r="AN170" s="63">
        <f t="shared" si="42"/>
        <v>0.82372898600024913</v>
      </c>
      <c r="AO170" s="63">
        <f t="shared" si="42"/>
        <v>0.83371944851359914</v>
      </c>
      <c r="AP170" s="63">
        <f t="shared" si="42"/>
        <v>0.87102156057494851</v>
      </c>
      <c r="AQ170" s="63">
        <f t="shared" si="42"/>
        <v>0.94744609856262818</v>
      </c>
      <c r="AR170" s="63">
        <f t="shared" si="42"/>
        <v>1</v>
      </c>
      <c r="AS170" s="63">
        <f t="shared" si="42"/>
        <v>1.0321483572895278</v>
      </c>
      <c r="AT170" s="91">
        <f t="shared" si="42"/>
        <v>1.0832096821058097</v>
      </c>
      <c r="AU170" s="106">
        <f t="shared" si="42"/>
        <v>1.0955743936244313</v>
      </c>
      <c r="AV170" s="63">
        <f t="shared" si="42"/>
        <v>1.1189764907239503</v>
      </c>
      <c r="AW170" s="63">
        <f t="shared" si="42"/>
        <v>1.1427183403407986</v>
      </c>
      <c r="AX170" s="63">
        <f t="shared" si="42"/>
        <v>1.1667944795393224</v>
      </c>
      <c r="AY170" s="63">
        <f t="shared" si="42"/>
        <v>1.191666589299726</v>
      </c>
      <c r="AZ170"/>
      <c r="BA170" s="44" t="str">
        <f ca="1">$A$1</f>
        <v>Transform_TO</v>
      </c>
      <c r="BB170" s="44" t="str">
        <f>Transform_TO!$A$156</f>
        <v>Finance inputs</v>
      </c>
      <c r="BC170" s="44" t="str">
        <f>Transform_TO!$B$157</f>
        <v>Inflation and price conversion</v>
      </c>
      <c r="BD170" s="44" t="str">
        <f>$C$169</f>
        <v>Price conversion factors</v>
      </c>
    </row>
    <row r="171" spans="1:56">
      <c r="E171" s="43" t="s">
        <v>236</v>
      </c>
      <c r="G171" s="43" t="s">
        <v>21</v>
      </c>
      <c r="H171" s="150"/>
      <c r="J171" s="43" t="s">
        <v>10</v>
      </c>
      <c r="L171"/>
      <c r="M171"/>
      <c r="N171"/>
      <c r="O171"/>
      <c r="P171"/>
      <c r="Q171"/>
      <c r="R171"/>
      <c r="S171"/>
      <c r="T171"/>
      <c r="U171"/>
      <c r="V171" s="63">
        <f t="shared" ref="V171:AY171" si="43">V165/INDEX($K165:$AY165,MATCH(BaseYear,$K$4:$AY$4,0))</f>
        <v>0.48861356216183416</v>
      </c>
      <c r="W171" s="63">
        <f t="shared" si="43"/>
        <v>0.50382169416515798</v>
      </c>
      <c r="X171" s="63">
        <f t="shared" si="43"/>
        <v>0.51665791567255048</v>
      </c>
      <c r="Y171" s="63">
        <f t="shared" si="43"/>
        <v>0.53312176499724973</v>
      </c>
      <c r="Z171" s="63">
        <f t="shared" si="43"/>
        <v>0.54623703479828123</v>
      </c>
      <c r="AA171" s="63">
        <f t="shared" si="43"/>
        <v>0.57176995366624683</v>
      </c>
      <c r="AB171" s="63">
        <f t="shared" si="43"/>
        <v>0.59451238959782282</v>
      </c>
      <c r="AC171" s="63">
        <f t="shared" si="43"/>
        <v>0.58990809275277978</v>
      </c>
      <c r="AD171" s="63">
        <f t="shared" si="43"/>
        <v>0.61878959114441301</v>
      </c>
      <c r="AE171" s="63">
        <f t="shared" si="43"/>
        <v>0.65143824150017238</v>
      </c>
      <c r="AF171" s="63">
        <f t="shared" si="43"/>
        <v>0.67432020157856787</v>
      </c>
      <c r="AG171" s="63">
        <f t="shared" si="43"/>
        <v>0.69510929945467093</v>
      </c>
      <c r="AH171" s="63">
        <f t="shared" si="43"/>
        <v>0.71227076951346757</v>
      </c>
      <c r="AI171" s="63">
        <f t="shared" si="43"/>
        <v>0.71868888026716382</v>
      </c>
      <c r="AJ171" s="63">
        <f t="shared" si="43"/>
        <v>0.72901366713180571</v>
      </c>
      <c r="AK171" s="63">
        <f t="shared" si="43"/>
        <v>0.75329086867839601</v>
      </c>
      <c r="AL171" s="63">
        <f t="shared" si="43"/>
        <v>0.77854473925272261</v>
      </c>
      <c r="AM171" s="63">
        <f t="shared" si="43"/>
        <v>0.79989193371610368</v>
      </c>
      <c r="AN171" s="63">
        <f t="shared" si="43"/>
        <v>0.81649530718762242</v>
      </c>
      <c r="AO171" s="63">
        <f t="shared" si="43"/>
        <v>0.83274605468187834</v>
      </c>
      <c r="AP171" s="63">
        <f t="shared" si="43"/>
        <v>0.89272175890826355</v>
      </c>
      <c r="AQ171" s="63">
        <f t="shared" si="43"/>
        <v>0.96702047005307057</v>
      </c>
      <c r="AR171" s="63">
        <f t="shared" si="43"/>
        <v>1</v>
      </c>
      <c r="AS171" s="63">
        <f t="shared" si="43"/>
        <v>1.037907505686126</v>
      </c>
      <c r="AT171" s="91">
        <f t="shared" si="43"/>
        <v>1.0665112260511083</v>
      </c>
      <c r="AU171" s="106">
        <f t="shared" si="43"/>
        <v>1.0902530663834287</v>
      </c>
      <c r="AV171" s="63">
        <f t="shared" si="43"/>
        <v>1.1133444029171624</v>
      </c>
      <c r="AW171" s="63">
        <f t="shared" si="43"/>
        <v>1.1368604024486282</v>
      </c>
      <c r="AX171" s="63">
        <f t="shared" si="43"/>
        <v>1.1609444338602923</v>
      </c>
      <c r="AY171" s="63">
        <f t="shared" si="43"/>
        <v>1.1846925189308175</v>
      </c>
      <c r="AZ171"/>
      <c r="BA171" s="44" t="str">
        <f ca="1">$A$1</f>
        <v>Transform_TO</v>
      </c>
      <c r="BB171" s="44" t="str">
        <f>Transform_TO!$A$156</f>
        <v>Finance inputs</v>
      </c>
      <c r="BC171" s="44" t="str">
        <f>Transform_TO!$B$157</f>
        <v>Inflation and price conversion</v>
      </c>
      <c r="BD171" s="44" t="str">
        <f>$C$169</f>
        <v>Price conversion factors</v>
      </c>
    </row>
    <row r="172" spans="1:56" customFormat="1" ht="14.5">
      <c r="F172" s="151"/>
      <c r="H172" s="151"/>
      <c r="AT172" s="77"/>
      <c r="BA172" s="44"/>
      <c r="BB172" s="44"/>
      <c r="BC172" s="1"/>
      <c r="BD172" s="1"/>
    </row>
    <row r="173" spans="1:56" ht="17.5" thickBot="1">
      <c r="B173" s="11" t="s">
        <v>121</v>
      </c>
      <c r="H173" s="248"/>
      <c r="AZ173"/>
      <c r="BA173" s="44"/>
    </row>
    <row r="174" spans="1:56" ht="17" thickTop="1">
      <c r="E174" s="43" t="s">
        <v>81</v>
      </c>
      <c r="G174" s="43" t="s">
        <v>71</v>
      </c>
      <c r="H174" s="48" t="s">
        <v>1042</v>
      </c>
      <c r="AU174" s="175">
        <f>NGT_TO!AU508</f>
        <v>2.9399999999999999E-2</v>
      </c>
      <c r="AV174" s="56">
        <f>NGT_TO!AV508</f>
        <v>3.0300000000000001E-2</v>
      </c>
      <c r="AW174" s="56">
        <f>NGT_TO!AW508</f>
        <v>3.1099999999999999E-2</v>
      </c>
      <c r="AX174" s="56">
        <f>NGT_TO!AX508</f>
        <v>3.2199999999999999E-2</v>
      </c>
      <c r="AY174" s="56">
        <f>NGT_TO!AY508</f>
        <v>3.3500000000000002E-2</v>
      </c>
      <c r="AZ174"/>
      <c r="BA174" s="44" t="str">
        <f ca="1">$A$1</f>
        <v>Transform_TO</v>
      </c>
      <c r="BB174" s="44" t="str">
        <f>Transform_TO!$A$156</f>
        <v>Finance inputs</v>
      </c>
      <c r="BC174" s="44" t="str">
        <f>$B$173</f>
        <v>Allowed return on debt</v>
      </c>
    </row>
    <row r="175" spans="1:56">
      <c r="E175" s="43" t="s">
        <v>89</v>
      </c>
      <c r="G175" s="43" t="s">
        <v>71</v>
      </c>
      <c r="H175" s="248"/>
      <c r="AU175" s="175">
        <f>NGT_TO!AU546</f>
        <v>0</v>
      </c>
      <c r="AV175" s="56">
        <f>NGT_TO!AV546</f>
        <v>0</v>
      </c>
      <c r="AW175" s="56">
        <f>NGT_TO!AW546</f>
        <v>0</v>
      </c>
      <c r="AX175" s="56">
        <f>NGT_TO!AX546</f>
        <v>0</v>
      </c>
      <c r="AY175" s="56">
        <f>NGT_TO!AY546</f>
        <v>0</v>
      </c>
      <c r="AZ175"/>
      <c r="BA175" s="44" t="str">
        <f ca="1">$A$1</f>
        <v>Transform_TO</v>
      </c>
      <c r="BB175" s="44" t="str">
        <f>Transform_TO!$A$156</f>
        <v>Finance inputs</v>
      </c>
      <c r="BC175" s="44" t="str">
        <f>$B$173</f>
        <v>Allowed return on debt</v>
      </c>
    </row>
    <row r="176" spans="1:56" ht="16.5">
      <c r="E176" s="43" t="s">
        <v>121</v>
      </c>
      <c r="G176" s="43" t="s">
        <v>71</v>
      </c>
      <c r="H176" s="248" t="s">
        <v>1106</v>
      </c>
      <c r="AU176" s="181">
        <f>SUM(AU174:AU175)</f>
        <v>2.9399999999999999E-2</v>
      </c>
      <c r="AV176" s="55">
        <f>SUM(AV174:AV175)</f>
        <v>3.0300000000000001E-2</v>
      </c>
      <c r="AW176" s="55">
        <f>SUM(AW174:AW175)</f>
        <v>3.1099999999999999E-2</v>
      </c>
      <c r="AX176" s="55">
        <f>SUM(AX174:AX175)</f>
        <v>3.2199999999999999E-2</v>
      </c>
      <c r="AY176" s="55">
        <f>SUM(AY174:AY175)</f>
        <v>3.3500000000000002E-2</v>
      </c>
      <c r="AZ176"/>
      <c r="BA176" s="44" t="str">
        <f ca="1">$A$1</f>
        <v>Transform_TO</v>
      </c>
      <c r="BB176" s="44" t="str">
        <f>Transform_TO!$A$156</f>
        <v>Finance inputs</v>
      </c>
      <c r="BC176" s="44" t="str">
        <f>$B$173</f>
        <v>Allowed return on debt</v>
      </c>
    </row>
    <row r="177" spans="2:56" customFormat="1" ht="14.5">
      <c r="F177" s="151"/>
      <c r="H177" s="249"/>
      <c r="AT177" s="77"/>
      <c r="BB177" s="1"/>
      <c r="BC177" s="1"/>
      <c r="BD177" s="1"/>
    </row>
    <row r="178" spans="2:56" customFormat="1" ht="15" thickBot="1">
      <c r="C178" s="14" t="s">
        <v>393</v>
      </c>
      <c r="F178" s="151"/>
      <c r="H178" s="249"/>
      <c r="AT178" s="77"/>
      <c r="BB178" s="1"/>
      <c r="BC178" s="1"/>
      <c r="BD178" s="1"/>
    </row>
    <row r="179" spans="2:56" customFormat="1" ht="16.5">
      <c r="E179" t="s">
        <v>394</v>
      </c>
      <c r="F179" s="151"/>
      <c r="G179" s="43" t="s">
        <v>1154</v>
      </c>
      <c r="H179" s="249" t="s">
        <v>1107</v>
      </c>
      <c r="AT179" s="77"/>
      <c r="AU179" s="144">
        <f>((1+AU176)*(1+AU163))-1</f>
        <v>5.13262200000002E-2</v>
      </c>
      <c r="AV179" s="62">
        <f>((1+AV176)*(1+AV163))-1</f>
        <v>5.2245390000000169E-2</v>
      </c>
      <c r="AW179" s="62">
        <f>((1+AW176)*(1+AW163))-1</f>
        <v>5.3062429999999994E-2</v>
      </c>
      <c r="AX179" s="62">
        <f>((1+AX176)*(1+AX163))-1</f>
        <v>5.418586000000003E-2</v>
      </c>
      <c r="AY179" s="62">
        <f>((1+AY176)*(1+AY163))-1</f>
        <v>5.5513550000000134E-2</v>
      </c>
      <c r="BA179" s="44" t="str">
        <f ca="1">$A$1</f>
        <v>Transform_TO</v>
      </c>
      <c r="BB179" s="44" t="str">
        <f>Transform_TO!$A$156</f>
        <v>Finance inputs</v>
      </c>
      <c r="BC179" s="44" t="str">
        <f>$B$173</f>
        <v>Allowed return on debt</v>
      </c>
      <c r="BD179" s="1" t="str">
        <f>$C$178</f>
        <v>Rates</v>
      </c>
    </row>
    <row r="180" spans="2:56" customFormat="1" ht="14.5">
      <c r="E180" t="s">
        <v>715</v>
      </c>
      <c r="F180" s="151"/>
      <c r="G180" s="43" t="s">
        <v>1154</v>
      </c>
      <c r="H180" s="249"/>
      <c r="AT180" s="77"/>
      <c r="AU180" s="144">
        <f>((1+AU176)*(1+AU162))-1</f>
        <v>5.2724128784066293E-2</v>
      </c>
      <c r="AV180" s="62">
        <f>((1+AV176)*(1+AV162))-1</f>
        <v>5.2307798632339697E-2</v>
      </c>
      <c r="AW180" s="62">
        <f>((1+AW176)*(1+AW162))-1</f>
        <v>5.2977332850928649E-2</v>
      </c>
      <c r="AX180" s="62">
        <f>((1+AX176)*(1+AX162))-1</f>
        <v>5.3947608315541018E-2</v>
      </c>
      <c r="AY180" s="62">
        <f>((1+AY176)*(1+AY162))-1</f>
        <v>5.5530722537807664E-2</v>
      </c>
      <c r="BA180" s="44" t="str">
        <f ca="1">$A$1</f>
        <v>Transform_TO</v>
      </c>
      <c r="BB180" s="44" t="str">
        <f>Transform_TO!$A$156</f>
        <v>Finance inputs</v>
      </c>
      <c r="BC180" s="44" t="str">
        <f>$B$173</f>
        <v>Allowed return on debt</v>
      </c>
      <c r="BD180" s="1" t="str">
        <f>$C$178</f>
        <v>Rates</v>
      </c>
    </row>
    <row r="181" spans="2:56">
      <c r="H181" s="248"/>
      <c r="AZ181"/>
      <c r="BA181" s="44"/>
    </row>
    <row r="182" spans="2:56" ht="17.5" thickBot="1">
      <c r="B182" s="11" t="s">
        <v>122</v>
      </c>
      <c r="H182" s="248"/>
      <c r="AZ182"/>
      <c r="BA182" s="44"/>
    </row>
    <row r="183" spans="2:56" ht="17" thickTop="1">
      <c r="E183" s="43" t="s">
        <v>82</v>
      </c>
      <c r="G183" s="43" t="s">
        <v>71</v>
      </c>
      <c r="H183" s="48" t="s">
        <v>1043</v>
      </c>
      <c r="AU183" s="175">
        <f>NGT_TO!AU509</f>
        <v>2.2800000000000001E-2</v>
      </c>
      <c r="AV183" s="56">
        <f>NGT_TO!AV509</f>
        <v>2.2800000000000001E-2</v>
      </c>
      <c r="AW183" s="56">
        <f>NGT_TO!AW509</f>
        <v>2.2800000000000001E-2</v>
      </c>
      <c r="AX183" s="56">
        <f>NGT_TO!AX509</f>
        <v>2.2800000000000001E-2</v>
      </c>
      <c r="AY183" s="56">
        <f>NGT_TO!AY509</f>
        <v>2.2800000000000001E-2</v>
      </c>
      <c r="AZ183"/>
      <c r="BA183" s="44" t="str">
        <f ca="1">$A$1</f>
        <v>Transform_TO</v>
      </c>
      <c r="BB183" s="44" t="str">
        <f>Transform_TO!$A$156</f>
        <v>Finance inputs</v>
      </c>
      <c r="BC183" s="44" t="str">
        <f>$B$182</f>
        <v>Allowed return on equity</v>
      </c>
    </row>
    <row r="184" spans="2:56">
      <c r="E184" s="43" t="s">
        <v>90</v>
      </c>
      <c r="G184" s="43" t="s">
        <v>21</v>
      </c>
      <c r="H184" s="248"/>
      <c r="AU184" s="182">
        <f>NGT_TO!AU547</f>
        <v>0.83</v>
      </c>
      <c r="AV184" s="84">
        <f>NGT_TO!AV547</f>
        <v>0.83</v>
      </c>
      <c r="AW184" s="84">
        <f>NGT_TO!AW547</f>
        <v>0.83</v>
      </c>
      <c r="AX184" s="84">
        <f>NGT_TO!AX547</f>
        <v>0.83</v>
      </c>
      <c r="AY184" s="84">
        <f>NGT_TO!AY547</f>
        <v>0.83</v>
      </c>
      <c r="AZ184"/>
      <c r="BA184" s="44" t="str">
        <f ca="1">$A$1</f>
        <v>Transform_TO</v>
      </c>
      <c r="BB184" s="44" t="str">
        <f>Transform_TO!$A$156</f>
        <v>Finance inputs</v>
      </c>
      <c r="BC184" s="44" t="str">
        <f>$B$182</f>
        <v>Allowed return on equity</v>
      </c>
    </row>
    <row r="185" spans="2:56">
      <c r="E185" s="43" t="s">
        <v>91</v>
      </c>
      <c r="G185" s="43" t="s">
        <v>33</v>
      </c>
      <c r="H185" s="248"/>
      <c r="AU185" s="175">
        <f>NGT_TO!AU548</f>
        <v>6.9000000000000006E-2</v>
      </c>
      <c r="AV185" s="56">
        <f>NGT_TO!AV548</f>
        <v>6.9000000000000006E-2</v>
      </c>
      <c r="AW185" s="56">
        <f>NGT_TO!AW548</f>
        <v>6.9000000000000006E-2</v>
      </c>
      <c r="AX185" s="56">
        <f>NGT_TO!AX548</f>
        <v>6.9000000000000006E-2</v>
      </c>
      <c r="AY185" s="56">
        <f>NGT_TO!AY548</f>
        <v>6.9000000000000006E-2</v>
      </c>
      <c r="AZ185"/>
      <c r="BA185" s="44" t="str">
        <f ca="1">$A$1</f>
        <v>Transform_TO</v>
      </c>
      <c r="BB185" s="44" t="str">
        <f>Transform_TO!$A$156</f>
        <v>Finance inputs</v>
      </c>
      <c r="BC185" s="44" t="str">
        <f>$B$182</f>
        <v>Allowed return on equity</v>
      </c>
    </row>
    <row r="186" spans="2:56">
      <c r="H186" s="248"/>
      <c r="AZ186"/>
      <c r="BA186" s="44"/>
    </row>
    <row r="187" spans="2:56" ht="16.5">
      <c r="E187" s="43" t="s">
        <v>122</v>
      </c>
      <c r="G187" s="43" t="s">
        <v>71</v>
      </c>
      <c r="H187" s="248" t="s">
        <v>1108</v>
      </c>
      <c r="AU187" s="181">
        <f>AU183 + AU184 * (AU185-AU183)</f>
        <v>6.1146000000000006E-2</v>
      </c>
      <c r="AV187" s="55">
        <f>AV183 + AV184 * (AV185-AV183)</f>
        <v>6.1146000000000006E-2</v>
      </c>
      <c r="AW187" s="55">
        <f>AW183 + AW184 * (AW185-AW183)</f>
        <v>6.1146000000000006E-2</v>
      </c>
      <c r="AX187" s="55">
        <f>AX183 + AX184 * (AX185-AX183)</f>
        <v>6.1146000000000006E-2</v>
      </c>
      <c r="AY187" s="55">
        <f>AY183 + AY184 * (AY185-AY183)</f>
        <v>6.1146000000000006E-2</v>
      </c>
      <c r="AZ187"/>
      <c r="BA187" s="44" t="str">
        <f ca="1">$A$1</f>
        <v>Transform_TO</v>
      </c>
      <c r="BB187" s="44" t="str">
        <f>Transform_TO!$A$156</f>
        <v>Finance inputs</v>
      </c>
      <c r="BC187" s="44" t="str">
        <f>$B$182</f>
        <v>Allowed return on equity</v>
      </c>
    </row>
    <row r="188" spans="2:56">
      <c r="H188" s="248"/>
      <c r="AZ188"/>
      <c r="BA188" s="44"/>
    </row>
    <row r="189" spans="2:56" ht="17.5" thickBot="1">
      <c r="B189" s="11" t="s">
        <v>123</v>
      </c>
      <c r="H189" s="248"/>
      <c r="AZ189"/>
      <c r="BA189" s="44"/>
    </row>
    <row r="190" spans="2:56" ht="16.5" thickTop="1">
      <c r="E190" s="43" t="s">
        <v>559</v>
      </c>
      <c r="G190" s="43" t="s">
        <v>33</v>
      </c>
      <c r="H190" s="248" t="str">
        <f>NGT_TO!H549</f>
        <v>G</v>
      </c>
      <c r="AU190" s="175">
        <f>NGT_TO!AU549</f>
        <v>0.6</v>
      </c>
      <c r="AV190" s="56">
        <f>NGT_TO!AV549</f>
        <v>0.6</v>
      </c>
      <c r="AW190" s="56">
        <f>NGT_TO!AW549</f>
        <v>0.6</v>
      </c>
      <c r="AX190" s="56">
        <f>NGT_TO!AX549</f>
        <v>0.6</v>
      </c>
      <c r="AY190" s="56">
        <f>NGT_TO!AY549</f>
        <v>0.6</v>
      </c>
      <c r="AZ190"/>
      <c r="BA190" s="44" t="str">
        <f ca="1">$A$1</f>
        <v>Transform_TO</v>
      </c>
      <c r="BB190" s="44" t="str">
        <f>Transform_TO!$A$156</f>
        <v>Finance inputs</v>
      </c>
      <c r="BC190" s="44" t="str">
        <f>$B$182</f>
        <v>Allowed return on equity</v>
      </c>
    </row>
    <row r="191" spans="2:56">
      <c r="E191" s="43" t="s">
        <v>124</v>
      </c>
      <c r="G191" s="43" t="s">
        <v>71</v>
      </c>
      <c r="H191" s="150"/>
      <c r="I191" s="66"/>
      <c r="AU191" s="181">
        <f>AU176*AU190+AU187*(1-AU190)</f>
        <v>4.2098400000000008E-2</v>
      </c>
      <c r="AV191" s="55">
        <f>AV176*AV190+AV187*(1-AV190)</f>
        <v>4.2638400000000007E-2</v>
      </c>
      <c r="AW191" s="55">
        <f>AW176*AW190+AW187*(1-AW190)</f>
        <v>4.3118400000000001E-2</v>
      </c>
      <c r="AX191" s="55">
        <f>AX176*AX190+AX187*(1-AX190)</f>
        <v>4.3778400000000009E-2</v>
      </c>
      <c r="AY191" s="55">
        <f>AY176*AY190+AY187*(1-AY190)</f>
        <v>4.4558400000000005E-2</v>
      </c>
      <c r="AZ191"/>
      <c r="BA191" s="44" t="str">
        <f ca="1">$A$1</f>
        <v>Transform_TO</v>
      </c>
      <c r="BB191" s="44" t="str">
        <f>Transform_TO!$A$156</f>
        <v>Finance inputs</v>
      </c>
      <c r="BC191" s="44" t="str">
        <f>$B$189</f>
        <v>Vanilla allowed return of capital</v>
      </c>
    </row>
    <row r="192" spans="2:56">
      <c r="H192" s="150"/>
      <c r="I192" s="66"/>
      <c r="AU192"/>
      <c r="AV192"/>
      <c r="AW192"/>
      <c r="AX192"/>
      <c r="AY192"/>
      <c r="AZ192"/>
      <c r="BA192" s="44"/>
    </row>
    <row r="193" spans="2:56" ht="17.5" thickBot="1">
      <c r="B193" s="11" t="s">
        <v>392</v>
      </c>
      <c r="H193" s="150"/>
      <c r="I193" s="66"/>
      <c r="AU193"/>
      <c r="AV193"/>
      <c r="AW193"/>
      <c r="AX193"/>
      <c r="AY193"/>
      <c r="AZ193"/>
      <c r="BA193" s="44"/>
    </row>
    <row r="194" spans="2:56" ht="17" thickTop="1" thickBot="1">
      <c r="C194" s="14" t="s">
        <v>126</v>
      </c>
      <c r="D194" s="43"/>
      <c r="H194" s="150"/>
      <c r="I194" s="66"/>
      <c r="AU194"/>
      <c r="AV194"/>
      <c r="AW194"/>
      <c r="AX194"/>
      <c r="AY194"/>
      <c r="AZ194"/>
      <c r="BA194" s="44"/>
    </row>
    <row r="195" spans="2:56">
      <c r="H195" s="150"/>
      <c r="I195" s="66"/>
      <c r="AU195"/>
      <c r="AV195"/>
      <c r="AW195"/>
      <c r="AX195"/>
      <c r="AY195"/>
      <c r="AZ195"/>
      <c r="BA195" s="44"/>
    </row>
    <row r="196" spans="2:56">
      <c r="E196" s="43" t="s">
        <v>359</v>
      </c>
      <c r="G196" s="43" t="s">
        <v>33</v>
      </c>
      <c r="H196" s="150"/>
      <c r="I196" s="66"/>
      <c r="AH196"/>
      <c r="AI196"/>
      <c r="AJ196"/>
      <c r="AK196"/>
      <c r="AL196"/>
      <c r="AM196"/>
      <c r="AN196"/>
      <c r="AO196"/>
      <c r="AP196"/>
      <c r="AQ196"/>
      <c r="AR196"/>
      <c r="AS196"/>
      <c r="AT196" s="77"/>
      <c r="AU196" s="144">
        <f>1-AU190</f>
        <v>0.4</v>
      </c>
      <c r="AV196" s="62">
        <f>1-AV190</f>
        <v>0.4</v>
      </c>
      <c r="AW196" s="62">
        <f>1-AW190</f>
        <v>0.4</v>
      </c>
      <c r="AX196" s="62">
        <f>1-AX190</f>
        <v>0.4</v>
      </c>
      <c r="AY196" s="62">
        <f>1-AY190</f>
        <v>0.4</v>
      </c>
      <c r="AZ196"/>
      <c r="BA196" s="44" t="str">
        <f ca="1">$A$1</f>
        <v>Transform_TO</v>
      </c>
      <c r="BB196" s="44" t="str">
        <f>Transform_TO!$A$156</f>
        <v>Finance inputs</v>
      </c>
      <c r="BC196" s="44" t="str">
        <f>$B$193</f>
        <v>Semi nominal WACC</v>
      </c>
      <c r="BD196" s="44" t="str">
        <f>$C$194</f>
        <v>Notional structure</v>
      </c>
    </row>
    <row r="197" spans="2:56">
      <c r="E197" s="43" t="s">
        <v>716</v>
      </c>
      <c r="G197" s="43" t="s">
        <v>33</v>
      </c>
      <c r="H197" s="150"/>
      <c r="I197" s="66"/>
      <c r="AH197"/>
      <c r="AI197"/>
      <c r="AJ197"/>
      <c r="AK197"/>
      <c r="AL197"/>
      <c r="AM197"/>
      <c r="AN197"/>
      <c r="AO197"/>
      <c r="AP197"/>
      <c r="AQ197"/>
      <c r="AR197"/>
      <c r="AS197"/>
      <c r="AT197" s="77"/>
      <c r="AU197" s="144">
        <f>Transform_TO!AU217*(1-AU196)</f>
        <v>0.18</v>
      </c>
      <c r="AV197" s="62">
        <f>Transform_TO!AV217*(1-AV196)</f>
        <v>0.18</v>
      </c>
      <c r="AW197" s="62">
        <f>Transform_TO!AW217*(1-AW196)</f>
        <v>0.18</v>
      </c>
      <c r="AX197" s="62">
        <f>Transform_TO!AX217*(1-AX196)</f>
        <v>0.18</v>
      </c>
      <c r="AY197" s="62">
        <f>Transform_TO!AY217*(1-AY196)</f>
        <v>0.18</v>
      </c>
      <c r="AZ197"/>
      <c r="BA197" s="44" t="str">
        <f ca="1">$A$1</f>
        <v>Transform_TO</v>
      </c>
      <c r="BB197" s="44" t="str">
        <f>Transform_TO!$A$156</f>
        <v>Finance inputs</v>
      </c>
      <c r="BC197" s="44" t="str">
        <f>$B$193</f>
        <v>Semi nominal WACC</v>
      </c>
      <c r="BD197" s="44" t="str">
        <f>$C$194</f>
        <v>Notional structure</v>
      </c>
    </row>
    <row r="198" spans="2:56">
      <c r="E198" s="43" t="s">
        <v>360</v>
      </c>
      <c r="G198" s="43" t="s">
        <v>33</v>
      </c>
      <c r="H198" s="150"/>
      <c r="I198" s="66"/>
      <c r="AH198"/>
      <c r="AI198"/>
      <c r="AJ198"/>
      <c r="AK198"/>
      <c r="AL198"/>
      <c r="AM198"/>
      <c r="AN198"/>
      <c r="AO198"/>
      <c r="AP198"/>
      <c r="AQ198"/>
      <c r="AR198"/>
      <c r="AS198"/>
      <c r="AT198" s="77"/>
      <c r="AU198" s="144">
        <f t="shared" ref="AU198:AY198" si="44">1-(SUM(AU196:AU197))</f>
        <v>0.41999999999999993</v>
      </c>
      <c r="AV198" s="62">
        <f t="shared" si="44"/>
        <v>0.41999999999999993</v>
      </c>
      <c r="AW198" s="62">
        <f t="shared" si="44"/>
        <v>0.41999999999999993</v>
      </c>
      <c r="AX198" s="62">
        <f t="shared" si="44"/>
        <v>0.41999999999999993</v>
      </c>
      <c r="AY198" s="62">
        <f t="shared" si="44"/>
        <v>0.41999999999999993</v>
      </c>
      <c r="AZ198"/>
      <c r="BA198" s="44" t="str">
        <f ca="1">$A$1</f>
        <v>Transform_TO</v>
      </c>
      <c r="BB198" s="44" t="str">
        <f>Transform_TO!$A$156</f>
        <v>Finance inputs</v>
      </c>
      <c r="BC198" s="44" t="str">
        <f>$B$193</f>
        <v>Semi nominal WACC</v>
      </c>
      <c r="BD198" s="44" t="str">
        <f>$C$194</f>
        <v>Notional structure</v>
      </c>
    </row>
    <row r="199" spans="2:56">
      <c r="H199" s="150"/>
      <c r="I199" s="66"/>
      <c r="AH199"/>
      <c r="AI199"/>
      <c r="AJ199"/>
      <c r="AK199"/>
      <c r="AL199"/>
      <c r="AM199"/>
      <c r="AN199"/>
      <c r="AO199"/>
      <c r="AP199"/>
      <c r="AQ199"/>
      <c r="AR199"/>
      <c r="AS199"/>
      <c r="AT199" s="77"/>
      <c r="AU199"/>
      <c r="AV199"/>
      <c r="AW199"/>
      <c r="AX199"/>
      <c r="AY199"/>
      <c r="AZ199"/>
      <c r="BA199" s="44"/>
    </row>
    <row r="200" spans="2:56" ht="16.5" thickBot="1">
      <c r="C200" s="14" t="s">
        <v>395</v>
      </c>
      <c r="D200" s="43"/>
      <c r="H200" s="150"/>
      <c r="I200" s="66"/>
      <c r="AH200"/>
      <c r="AI200"/>
      <c r="AJ200"/>
      <c r="AK200"/>
      <c r="AL200"/>
      <c r="AM200"/>
      <c r="AN200"/>
      <c r="AO200"/>
      <c r="AP200"/>
      <c r="AQ200"/>
      <c r="AR200"/>
      <c r="AS200"/>
      <c r="AT200" s="77"/>
      <c r="AU200"/>
      <c r="AV200"/>
      <c r="AW200"/>
      <c r="AX200"/>
      <c r="AY200"/>
      <c r="AZ200"/>
      <c r="BA200" s="44"/>
    </row>
    <row r="201" spans="2:56">
      <c r="E201" s="43" t="s">
        <v>396</v>
      </c>
      <c r="G201" s="43" t="s">
        <v>1154</v>
      </c>
      <c r="H201" s="248"/>
      <c r="I201" s="66"/>
      <c r="AH201"/>
      <c r="AI201"/>
      <c r="AJ201"/>
      <c r="AK201"/>
      <c r="AL201"/>
      <c r="AM201"/>
      <c r="AN201"/>
      <c r="AO201"/>
      <c r="AP201"/>
      <c r="AQ201"/>
      <c r="AR201"/>
      <c r="AS201"/>
      <c r="AT201" s="77"/>
      <c r="AU201" s="144">
        <f>AU179</f>
        <v>5.13262200000002E-2</v>
      </c>
      <c r="AV201" s="62">
        <f>AV179</f>
        <v>5.2245390000000169E-2</v>
      </c>
      <c r="AW201" s="62">
        <f>AW179</f>
        <v>5.3062429999999994E-2</v>
      </c>
      <c r="AX201" s="62">
        <f>AX179</f>
        <v>5.418586000000003E-2</v>
      </c>
      <c r="AY201" s="62">
        <f>AY179</f>
        <v>5.5513550000000134E-2</v>
      </c>
      <c r="AZ201"/>
      <c r="BA201" s="44" t="str">
        <f ca="1">$A$1</f>
        <v>Transform_TO</v>
      </c>
      <c r="BB201" s="44" t="str">
        <f>Transform_TO!$A$156</f>
        <v>Finance inputs</v>
      </c>
      <c r="BC201" s="44" t="str">
        <f>$B$193</f>
        <v>Semi nominal WACC</v>
      </c>
      <c r="BD201" s="44" t="str">
        <f>$C$200</f>
        <v>WACC</v>
      </c>
    </row>
    <row r="202" spans="2:56" ht="16.5">
      <c r="E202" s="43" t="s">
        <v>456</v>
      </c>
      <c r="G202" s="43" t="s">
        <v>1154</v>
      </c>
      <c r="H202" s="248" t="s">
        <v>1109</v>
      </c>
      <c r="I202" s="66"/>
      <c r="AH202"/>
      <c r="AI202"/>
      <c r="AJ202"/>
      <c r="AK202"/>
      <c r="AL202"/>
      <c r="AM202"/>
      <c r="AN202"/>
      <c r="AO202"/>
      <c r="AP202"/>
      <c r="AQ202"/>
      <c r="AR202"/>
      <c r="AS202"/>
      <c r="AT202" s="77"/>
      <c r="AU202" s="144">
        <f>((1+AU187)*(1+AU167)-1)*AU196+((1+AU176)*(1+AU167)-1)*AU197+AU201*AU198</f>
        <v>5.8267641724859133E-2</v>
      </c>
      <c r="AV202" s="62">
        <f>((1+AV187)*(1+AV167)-1)*AV196+((1+AV176)*(1+AV167)-1)*AV197+AV201*AV198</f>
        <v>6.4883542303898922E-2</v>
      </c>
      <c r="AW202" s="62">
        <f>((1+AW187)*(1+AW167)-1)*AW196+((1+AW176)*(1+AW167)-1)*AW197+AW201*AW198</f>
        <v>6.5286473689554356E-2</v>
      </c>
      <c r="AX202" s="62">
        <f>((1+AX187)*(1+AX167)-1)*AX196+((1+AX176)*(1+AX167)-1)*AX197+AX201*AX198</f>
        <v>6.5870021424796796E-2</v>
      </c>
      <c r="AY202" s="62">
        <f>((1+AY187)*(1+AY167)-1)*AY196+((1+AY176)*(1+AY167)-1)*AY197+AY201*AY198</f>
        <v>6.6817637737252494E-2</v>
      </c>
      <c r="AZ202"/>
      <c r="BA202" s="44" t="str">
        <f ca="1">$A$1</f>
        <v>Transform_TO</v>
      </c>
      <c r="BB202" s="44" t="str">
        <f>Transform_TO!$A$156</f>
        <v>Finance inputs</v>
      </c>
      <c r="BC202" s="44" t="str">
        <f>$B$193</f>
        <v>Semi nominal WACC</v>
      </c>
      <c r="BD202" s="44" t="str">
        <f>$C$200</f>
        <v>WACC</v>
      </c>
    </row>
    <row r="203" spans="2:56">
      <c r="H203" s="248"/>
      <c r="I203" s="66"/>
      <c r="AU203"/>
      <c r="AV203"/>
      <c r="AW203"/>
      <c r="AX203"/>
      <c r="AY203"/>
      <c r="AZ203"/>
      <c r="BA203" s="44"/>
    </row>
    <row r="204" spans="2:56" ht="16.5" thickBot="1">
      <c r="C204" s="14" t="s">
        <v>127</v>
      </c>
      <c r="D204" s="43"/>
      <c r="H204" s="248"/>
      <c r="I204" s="66"/>
      <c r="AU204"/>
      <c r="AV204"/>
      <c r="AW204"/>
      <c r="AX204"/>
      <c r="AY204" s="26"/>
      <c r="AZ204"/>
      <c r="BA204" s="44"/>
    </row>
    <row r="205" spans="2:56">
      <c r="H205" s="248"/>
      <c r="I205" s="66"/>
      <c r="AU205"/>
      <c r="AV205"/>
      <c r="AW205"/>
      <c r="AX205"/>
      <c r="AY205"/>
      <c r="AZ205"/>
      <c r="BA205" s="44"/>
    </row>
    <row r="206" spans="2:56">
      <c r="E206" s="43" t="s">
        <v>128</v>
      </c>
      <c r="G206" s="43" t="s">
        <v>33</v>
      </c>
      <c r="H206" s="248"/>
      <c r="I206" s="66"/>
      <c r="J206" s="43" t="s">
        <v>10</v>
      </c>
      <c r="AH206"/>
      <c r="AI206"/>
      <c r="AJ206"/>
      <c r="AK206"/>
      <c r="AL206"/>
      <c r="AM206"/>
      <c r="AN206"/>
      <c r="AO206"/>
      <c r="AP206"/>
      <c r="AQ206"/>
      <c r="AR206" s="62">
        <f t="shared" ref="AR206:AY206" si="45">AR167*RIIO2+AR167*(AR196+AR197)*RIIO3</f>
        <v>5.5469014561463137E-2</v>
      </c>
      <c r="AS206" s="62">
        <f t="shared" si="45"/>
        <v>3.2148357289527807E-2</v>
      </c>
      <c r="AT206" s="90">
        <f t="shared" si="45"/>
        <v>4.9470916129122688E-2</v>
      </c>
      <c r="AU206" s="144">
        <f t="shared" si="45"/>
        <v>6.6206319969913004E-3</v>
      </c>
      <c r="AV206" s="62">
        <f t="shared" si="45"/>
        <v>1.2389132492242123E-2</v>
      </c>
      <c r="AW206" s="62">
        <f t="shared" si="45"/>
        <v>1.230613233783232E-2</v>
      </c>
      <c r="AX206" s="62">
        <f t="shared" si="45"/>
        <v>1.2220124804314626E-2</v>
      </c>
      <c r="AY206" s="62">
        <f t="shared" si="45"/>
        <v>1.2363637224894723E-2</v>
      </c>
      <c r="AZ206"/>
      <c r="BA206" s="44" t="str">
        <f ca="1">$A$1</f>
        <v>Transform_TO</v>
      </c>
      <c r="BB206" s="44" t="str">
        <f>Transform_TO!$A$156</f>
        <v>Finance inputs</v>
      </c>
      <c r="BC206" s="44" t="str">
        <f>$B$193</f>
        <v>Semi nominal WACC</v>
      </c>
      <c r="BD206" s="44" t="str">
        <f>$C$204</f>
        <v>RAV indexation</v>
      </c>
    </row>
    <row r="207" spans="2:56">
      <c r="E207" s="43" t="s">
        <v>361</v>
      </c>
      <c r="G207" s="43" t="s">
        <v>21</v>
      </c>
      <c r="H207" s="248"/>
      <c r="I207" s="66"/>
      <c r="J207" s="43" t="s">
        <v>10</v>
      </c>
      <c r="AH207"/>
      <c r="AI207"/>
      <c r="AJ207"/>
      <c r="AK207"/>
      <c r="AL207"/>
      <c r="AM207"/>
      <c r="AN207"/>
      <c r="AO207"/>
      <c r="AP207"/>
      <c r="AQ207"/>
      <c r="AR207" s="63">
        <f t="shared" ref="AR207:AY207" si="46">(1+AR206)*AQ207+AR159</f>
        <v>1</v>
      </c>
      <c r="AS207" s="63">
        <f t="shared" si="46"/>
        <v>1.0321483572895278</v>
      </c>
      <c r="AT207" s="91">
        <f t="shared" si="46"/>
        <v>1.0832096821058097</v>
      </c>
      <c r="AU207" s="106">
        <f t="shared" si="46"/>
        <v>1.0903812147866101</v>
      </c>
      <c r="AV207" s="63">
        <f t="shared" si="46"/>
        <v>1.1038900921236532</v>
      </c>
      <c r="AW207" s="63">
        <f t="shared" si="46"/>
        <v>1.117474709683749</v>
      </c>
      <c r="AX207" s="63">
        <f t="shared" si="46"/>
        <v>1.1311303901017495</v>
      </c>
      <c r="AY207" s="63">
        <f t="shared" si="46"/>
        <v>1.1451152758990213</v>
      </c>
      <c r="AZ207"/>
      <c r="BA207" s="44" t="str">
        <f ca="1">$A$1</f>
        <v>Transform_TO</v>
      </c>
      <c r="BB207" s="44" t="str">
        <f>Transform_TO!$A$156</f>
        <v>Finance inputs</v>
      </c>
      <c r="BC207" s="44" t="str">
        <f>$B$193</f>
        <v>Semi nominal WACC</v>
      </c>
      <c r="BD207" s="44" t="str">
        <f>$C$204</f>
        <v>RAV indexation</v>
      </c>
    </row>
    <row r="208" spans="2:56" ht="16.5">
      <c r="E208" s="43" t="s">
        <v>129</v>
      </c>
      <c r="G208" s="43" t="s">
        <v>523</v>
      </c>
      <c r="H208" s="248" t="s">
        <v>1110</v>
      </c>
      <c r="I208" s="66"/>
      <c r="AH208"/>
      <c r="AI208"/>
      <c r="AJ208"/>
      <c r="AK208"/>
      <c r="AL208"/>
      <c r="AM208"/>
      <c r="AN208"/>
      <c r="AO208"/>
      <c r="AP208"/>
      <c r="AQ208"/>
      <c r="AR208"/>
      <c r="AS208"/>
      <c r="AT208" s="77"/>
      <c r="AU208" s="144">
        <f>AU196*AU187+AU197*AU176+AU198*AU201</f>
        <v>5.1307412400000085E-2</v>
      </c>
      <c r="AV208" s="62">
        <f>AV196*AV187+AV197*AV176+AV198*AV201</f>
        <v>5.1855463800000071E-2</v>
      </c>
      <c r="AW208" s="62">
        <f>AW196*AW187+AW197*AW176+AW198*AW201</f>
        <v>5.23426206E-2</v>
      </c>
      <c r="AX208" s="62">
        <f>AX196*AX187+AX197*AX176+AX198*AX201</f>
        <v>5.3012461200000013E-2</v>
      </c>
      <c r="AY208" s="62">
        <f>AY196*AY187+AY197*AY176+AY198*AY201</f>
        <v>5.3804091000000054E-2</v>
      </c>
      <c r="AZ208"/>
      <c r="BA208" s="44" t="str">
        <f ca="1">$A$1</f>
        <v>Transform_TO</v>
      </c>
      <c r="BB208" s="44" t="str">
        <f>Transform_TO!$A$156</f>
        <v>Finance inputs</v>
      </c>
      <c r="BC208" s="44" t="str">
        <f>$B$193</f>
        <v>Semi nominal WACC</v>
      </c>
      <c r="BD208" s="44" t="str">
        <f>$C$204</f>
        <v>RAV indexation</v>
      </c>
    </row>
    <row r="209" spans="2:56">
      <c r="E209" s="43" t="s">
        <v>524</v>
      </c>
      <c r="G209" s="43" t="s">
        <v>21</v>
      </c>
      <c r="H209" s="248"/>
      <c r="I209" s="66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 s="77"/>
      <c r="AU209" s="183">
        <f t="shared" ref="AU209:AY209" si="47">AU207*RIIO3+PCf*(RIIO1+RIIO2+PreRIIO)</f>
        <v>1.0903812147866101</v>
      </c>
      <c r="AV209" s="67">
        <f t="shared" si="47"/>
        <v>1.1038900921236532</v>
      </c>
      <c r="AW209" s="67">
        <f t="shared" si="47"/>
        <v>1.117474709683749</v>
      </c>
      <c r="AX209" s="67">
        <f t="shared" si="47"/>
        <v>1.1311303901017495</v>
      </c>
      <c r="AY209" s="67">
        <f t="shared" si="47"/>
        <v>1.1451152758990213</v>
      </c>
      <c r="AZ209"/>
      <c r="BA209" s="44" t="str">
        <f ca="1">$A$1</f>
        <v>Transform_TO</v>
      </c>
      <c r="BB209" s="44" t="str">
        <f>Transform_TO!$A$156</f>
        <v>Finance inputs</v>
      </c>
      <c r="BC209" s="44" t="str">
        <f>$B$193</f>
        <v>Semi nominal WACC</v>
      </c>
      <c r="BD209" s="44" t="str">
        <f>$C$204</f>
        <v>RAV indexation</v>
      </c>
    </row>
    <row r="210" spans="2:56">
      <c r="E210" s="43" t="s">
        <v>362</v>
      </c>
      <c r="G210" s="43" t="s">
        <v>33</v>
      </c>
      <c r="H210" s="248"/>
      <c r="I210" s="66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 s="77"/>
      <c r="AU210" s="181">
        <f>AU206*RIIO3+AU167*(RIIO1+RIIO2+PreRIIO)</f>
        <v>6.6206319969913004E-3</v>
      </c>
      <c r="AV210" s="55">
        <f>AV206*RIIO3+AV167*(RIIO1+RIIO2+PreRIIO)</f>
        <v>1.2389132492242123E-2</v>
      </c>
      <c r="AW210" s="55">
        <f>AW206*RIIO3+AW167*(RIIO1+RIIO2+PreRIIO)</f>
        <v>1.230613233783232E-2</v>
      </c>
      <c r="AX210" s="55">
        <f>AX206*RIIO3+AX167*(RIIO1+RIIO2+PreRIIO)</f>
        <v>1.2220124804314626E-2</v>
      </c>
      <c r="AY210" s="55">
        <f>AY206*RIIO3+AY167*(RIIO1+RIIO2+PreRIIO)</f>
        <v>1.2363637224894723E-2</v>
      </c>
      <c r="AZ210"/>
      <c r="BA210" s="44" t="str">
        <f ca="1">$A$1</f>
        <v>Transform_TO</v>
      </c>
      <c r="BB210" s="44" t="str">
        <f>Transform_TO!$A$156</f>
        <v>Finance inputs</v>
      </c>
      <c r="BC210" s="44" t="str">
        <f>$B$193</f>
        <v>Semi nominal WACC</v>
      </c>
      <c r="BD210" s="44" t="str">
        <f>$C$204</f>
        <v>RAV indexation</v>
      </c>
    </row>
    <row r="211" spans="2:56">
      <c r="H211" s="248"/>
      <c r="I211" s="66"/>
      <c r="AU211"/>
      <c r="AV211"/>
      <c r="AW211"/>
      <c r="AX211"/>
      <c r="AY211"/>
      <c r="AZ211"/>
      <c r="BA211" s="44"/>
    </row>
    <row r="212" spans="2:56" ht="17.5" thickBot="1">
      <c r="B212" s="11" t="s">
        <v>133</v>
      </c>
      <c r="H212" s="150"/>
      <c r="AZ212"/>
      <c r="BA212" s="44"/>
    </row>
    <row r="213" spans="2:56" ht="16.5" thickTop="1">
      <c r="E213" s="43" t="s">
        <v>92</v>
      </c>
      <c r="G213" s="43" t="s">
        <v>33</v>
      </c>
      <c r="H213" s="150"/>
      <c r="I213" s="56">
        <f>NGT_TO!I538</f>
        <v>0.6</v>
      </c>
      <c r="AZ213"/>
      <c r="BA213" s="44" t="str">
        <f ca="1">$A$1</f>
        <v>Transform_TO</v>
      </c>
      <c r="BB213" s="44" t="str">
        <f>Transform_TO!$A$156</f>
        <v>Finance inputs</v>
      </c>
      <c r="BC213" s="44" t="str">
        <f>Transform_TO!$B$212</f>
        <v>Other finance inputs</v>
      </c>
    </row>
    <row r="214" spans="2:56">
      <c r="E214" s="43" t="s">
        <v>96</v>
      </c>
      <c r="G214" s="43" t="s">
        <v>33</v>
      </c>
      <c r="H214" s="150"/>
      <c r="AU214" s="175">
        <f>NGT_TO!AU539</f>
        <v>0</v>
      </c>
      <c r="AV214" s="56">
        <f>NGT_TO!AV539</f>
        <v>0</v>
      </c>
      <c r="AW214" s="56">
        <f>NGT_TO!AW539</f>
        <v>0</v>
      </c>
      <c r="AX214" s="56">
        <f>NGT_TO!AX539</f>
        <v>0</v>
      </c>
      <c r="AY214" s="56">
        <f>NGT_TO!AY539</f>
        <v>0</v>
      </c>
      <c r="AZ214"/>
      <c r="BA214" s="44" t="str">
        <f t="shared" ref="BA214:BA217" ca="1" si="48">$A$1</f>
        <v>Transform_TO</v>
      </c>
      <c r="BB214" s="44" t="str">
        <f>Transform_TO!$A$156</f>
        <v>Finance inputs</v>
      </c>
      <c r="BC214" s="44" t="str">
        <f>Transform_TO!$B$212</f>
        <v>Other finance inputs</v>
      </c>
    </row>
    <row r="215" spans="2:56">
      <c r="E215" s="43" t="s">
        <v>97</v>
      </c>
      <c r="G215" s="43" t="s">
        <v>33</v>
      </c>
      <c r="H215" s="150"/>
      <c r="AU215" s="175">
        <f>NGT_TO!AU540</f>
        <v>0.05</v>
      </c>
      <c r="AV215" s="56">
        <f>NGT_TO!AV540</f>
        <v>0.05</v>
      </c>
      <c r="AW215" s="56">
        <f>NGT_TO!AW540</f>
        <v>0.05</v>
      </c>
      <c r="AX215" s="56">
        <f>NGT_TO!AX540</f>
        <v>0.05</v>
      </c>
      <c r="AY215" s="56">
        <f>NGT_TO!AY540</f>
        <v>0.05</v>
      </c>
      <c r="AZ215"/>
      <c r="BA215" s="44" t="str">
        <f t="shared" ca="1" si="48"/>
        <v>Transform_TO</v>
      </c>
      <c r="BB215" s="44" t="str">
        <f>Transform_TO!$A$156</f>
        <v>Finance inputs</v>
      </c>
      <c r="BC215" s="44" t="str">
        <f>Transform_TO!$B$212</f>
        <v>Other finance inputs</v>
      </c>
    </row>
    <row r="216" spans="2:56">
      <c r="E216" s="43" t="s">
        <v>725</v>
      </c>
      <c r="G216" s="43" t="s">
        <v>33</v>
      </c>
      <c r="H216" s="150"/>
      <c r="AU216" s="175">
        <f>NGT_TO!AU541</f>
        <v>0.03</v>
      </c>
      <c r="AV216" s="56">
        <f>NGT_TO!AV541</f>
        <v>0.03</v>
      </c>
      <c r="AW216" s="56">
        <f>NGT_TO!AW541</f>
        <v>0.03</v>
      </c>
      <c r="AX216" s="56">
        <f>NGT_TO!AX541</f>
        <v>0.03</v>
      </c>
      <c r="AY216" s="56">
        <f>NGT_TO!AY541</f>
        <v>0.03</v>
      </c>
      <c r="AZ216"/>
      <c r="BA216" s="44" t="str">
        <f t="shared" ca="1" si="48"/>
        <v>Transform_TO</v>
      </c>
      <c r="BB216" s="44" t="str">
        <f>Transform_TO!$A$156</f>
        <v>Finance inputs</v>
      </c>
      <c r="BC216" s="44" t="str">
        <f>Transform_TO!$B$212</f>
        <v>Other finance inputs</v>
      </c>
    </row>
    <row r="217" spans="2:56">
      <c r="E217" s="43" t="s">
        <v>99</v>
      </c>
      <c r="G217" s="43" t="s">
        <v>33</v>
      </c>
      <c r="H217" s="150"/>
      <c r="AU217" s="175">
        <f>NGT_TO!AU543</f>
        <v>0.3</v>
      </c>
      <c r="AV217" s="56">
        <f>NGT_TO!AV543</f>
        <v>0.3</v>
      </c>
      <c r="AW217" s="56">
        <f>NGT_TO!AW543</f>
        <v>0.3</v>
      </c>
      <c r="AX217" s="56">
        <f>NGT_TO!AX543</f>
        <v>0.3</v>
      </c>
      <c r="AY217" s="56">
        <f>NGT_TO!AY543</f>
        <v>0.3</v>
      </c>
      <c r="AZ217"/>
      <c r="BA217" s="44" t="str">
        <f t="shared" ca="1" si="48"/>
        <v>Transform_TO</v>
      </c>
      <c r="BB217" s="44" t="str">
        <f>Transform_TO!$A$156</f>
        <v>Finance inputs</v>
      </c>
      <c r="BC217" s="44" t="str">
        <f>Transform_TO!$B$212</f>
        <v>Other finance inputs</v>
      </c>
    </row>
    <row r="218" spans="2:56">
      <c r="H218" s="150"/>
      <c r="AZ218"/>
      <c r="BA218" s="44"/>
    </row>
    <row r="219" spans="2:56">
      <c r="H219" s="150"/>
      <c r="AZ219"/>
      <c r="BA219" s="44"/>
    </row>
    <row r="220" spans="2:56" ht="17.5" thickBot="1">
      <c r="B220" s="11" t="s">
        <v>131</v>
      </c>
      <c r="H220" s="248"/>
      <c r="AZ220"/>
      <c r="BA220" s="44"/>
    </row>
    <row r="221" spans="2:56" ht="17" thickTop="1">
      <c r="E221" s="43" t="s">
        <v>24</v>
      </c>
      <c r="G221" s="43" t="str">
        <f t="shared" ref="G221:G223" si="49">nominal</f>
        <v>£m nominal</v>
      </c>
      <c r="H221" s="48" t="s">
        <v>1028</v>
      </c>
      <c r="AU221" s="174">
        <f>NGT_TO!AU65</f>
        <v>0</v>
      </c>
      <c r="AV221" s="50">
        <f>NGT_TO!AV65</f>
        <v>0</v>
      </c>
      <c r="AW221" s="50">
        <f>NGT_TO!AW65</f>
        <v>0</v>
      </c>
      <c r="AX221" s="50">
        <f>NGT_TO!AX65</f>
        <v>0</v>
      </c>
      <c r="AY221" s="50">
        <f>NGT_TO!AY65</f>
        <v>0</v>
      </c>
      <c r="AZ221"/>
      <c r="BA221" s="44" t="str">
        <f ca="1">$A$1</f>
        <v>Transform_TO</v>
      </c>
      <c r="BB221" s="44" t="str">
        <f>$A$156</f>
        <v>Finance inputs</v>
      </c>
      <c r="BC221" s="44" t="str">
        <f>$B$220</f>
        <v>Tax allowance</v>
      </c>
    </row>
    <row r="222" spans="2:56" ht="16.5">
      <c r="E222" s="43" t="s">
        <v>25</v>
      </c>
      <c r="G222" s="43" t="str">
        <f t="shared" si="49"/>
        <v>£m nominal</v>
      </c>
      <c r="H222" s="48" t="s">
        <v>1029</v>
      </c>
      <c r="AU222" s="174">
        <f>NGT_TO!AU66</f>
        <v>0</v>
      </c>
      <c r="AV222" s="50">
        <f>NGT_TO!AV66</f>
        <v>0</v>
      </c>
      <c r="AW222" s="50">
        <f>NGT_TO!AW66</f>
        <v>0</v>
      </c>
      <c r="AX222" s="50">
        <f>NGT_TO!AX66</f>
        <v>0</v>
      </c>
      <c r="AY222" s="50">
        <f>NGT_TO!AY66</f>
        <v>0</v>
      </c>
      <c r="AZ222"/>
      <c r="BA222" s="44" t="str">
        <f ca="1">$A$1</f>
        <v>Transform_TO</v>
      </c>
      <c r="BB222" s="44" t="str">
        <f>$A$156</f>
        <v>Finance inputs</v>
      </c>
      <c r="BC222" s="44" t="str">
        <f>$B$220</f>
        <v>Tax allowance</v>
      </c>
    </row>
    <row r="223" spans="2:56" ht="16.5">
      <c r="E223" s="43" t="s">
        <v>26</v>
      </c>
      <c r="F223" s="150" t="str">
        <f>NGT_TO!F67</f>
        <v>SpC 2.2</v>
      </c>
      <c r="G223" s="43" t="str">
        <f t="shared" si="49"/>
        <v>£m nominal</v>
      </c>
      <c r="H223" s="48" t="s">
        <v>1030</v>
      </c>
      <c r="AU223" s="174">
        <f>NGT_TO!AU67</f>
        <v>0</v>
      </c>
      <c r="AV223" s="50">
        <f>NGT_TO!AV67</f>
        <v>0</v>
      </c>
      <c r="AW223" s="50">
        <f>NGT_TO!AW67</f>
        <v>0</v>
      </c>
      <c r="AX223" s="50">
        <f>NGT_TO!AX67</f>
        <v>0</v>
      </c>
      <c r="AY223" s="50">
        <f>NGT_TO!AY67</f>
        <v>0</v>
      </c>
      <c r="AZ223"/>
      <c r="BA223" s="44" t="str">
        <f ca="1">$A$1</f>
        <v>Transform_TO</v>
      </c>
      <c r="BB223" s="44" t="str">
        <f>$A$156</f>
        <v>Finance inputs</v>
      </c>
      <c r="BC223" s="44" t="str">
        <f>$B$220</f>
        <v>Tax allowance</v>
      </c>
    </row>
    <row r="224" spans="2:56" ht="16.5">
      <c r="E224" s="43" t="s">
        <v>28</v>
      </c>
      <c r="G224" s="43" t="str">
        <f>price_label</f>
        <v>£m 23/24 prices</v>
      </c>
      <c r="H224" s="48" t="s">
        <v>1031</v>
      </c>
      <c r="AU224" s="174">
        <f>NGT_TO!AU68</f>
        <v>0</v>
      </c>
      <c r="AV224" s="50">
        <f>NGT_TO!AV68</f>
        <v>0</v>
      </c>
      <c r="AW224" s="50">
        <f>NGT_TO!AW68</f>
        <v>0</v>
      </c>
      <c r="AX224" s="50">
        <f>NGT_TO!AX68</f>
        <v>0</v>
      </c>
      <c r="AY224" s="50">
        <f>NGT_TO!AY68</f>
        <v>0</v>
      </c>
      <c r="AZ224"/>
      <c r="BA224" s="44" t="str">
        <f ca="1">$A$1</f>
        <v>Transform_TO</v>
      </c>
      <c r="BB224" s="44" t="str">
        <f>$A$156</f>
        <v>Finance inputs</v>
      </c>
      <c r="BC224" s="44" t="str">
        <f>$B$220</f>
        <v>Tax allowance</v>
      </c>
    </row>
    <row r="225" spans="1:56" ht="16.5">
      <c r="E225" s="43" t="s">
        <v>31</v>
      </c>
      <c r="F225" s="150" t="str">
        <f>NGT_TO!F77</f>
        <v>SpC 7.4</v>
      </c>
      <c r="G225" s="43" t="str">
        <f t="shared" si="31"/>
        <v>£m nominal</v>
      </c>
      <c r="H225" s="48" t="s">
        <v>1038</v>
      </c>
      <c r="AU225" s="174">
        <f>NGT_TO!AU77</f>
        <v>0</v>
      </c>
      <c r="AV225"/>
      <c r="AW225"/>
      <c r="AX225"/>
      <c r="AY225"/>
      <c r="AZ225"/>
      <c r="BA225" s="44" t="str">
        <f t="shared" ca="1" si="28"/>
        <v>Transform_TO</v>
      </c>
      <c r="BB225" s="44" t="str">
        <f>$A$156</f>
        <v>Finance inputs</v>
      </c>
      <c r="BC225" s="44" t="str">
        <f>$B$220</f>
        <v>Tax allowance</v>
      </c>
    </row>
    <row r="226" spans="1:56">
      <c r="H226" s="248"/>
      <c r="AZ226"/>
      <c r="BA226" s="44"/>
    </row>
    <row r="227" spans="1:56">
      <c r="E227" s="43" t="s">
        <v>67</v>
      </c>
      <c r="G227" s="43" t="s">
        <v>33</v>
      </c>
      <c r="H227" s="248"/>
      <c r="AU227" s="175">
        <f>NGT_TO!AU552</f>
        <v>0.6</v>
      </c>
      <c r="AV227" s="56">
        <f>NGT_TO!AV552</f>
        <v>0.6</v>
      </c>
      <c r="AW227" s="56">
        <f>NGT_TO!AW552</f>
        <v>0.6</v>
      </c>
      <c r="AX227" s="56">
        <f>NGT_TO!AX552</f>
        <v>0.6</v>
      </c>
      <c r="AY227" s="56">
        <f>NGT_TO!AY552</f>
        <v>0.6</v>
      </c>
      <c r="AZ227"/>
      <c r="BA227" s="44" t="str">
        <f ca="1">$A$1</f>
        <v>Transform_TO</v>
      </c>
      <c r="BB227" s="44" t="str">
        <f>$A$156</f>
        <v>Finance inputs</v>
      </c>
      <c r="BC227" s="44" t="str">
        <f>$B$220</f>
        <v>Tax allowance</v>
      </c>
    </row>
    <row r="228" spans="1:56">
      <c r="E228" s="43" t="s">
        <v>68</v>
      </c>
      <c r="G228" s="43" t="str">
        <f>price_label</f>
        <v>£m 23/24 prices</v>
      </c>
      <c r="H228" s="248"/>
      <c r="AU228" s="174">
        <f>NGT_TO!AU445</f>
        <v>3.9365467496633211</v>
      </c>
      <c r="AV228" s="50">
        <f>NGT_TO!AV445</f>
        <v>4.0631518333322241</v>
      </c>
      <c r="AW228" s="50">
        <f>NGT_TO!AW445</f>
        <v>4.1500224081482031</v>
      </c>
      <c r="AX228" s="50">
        <f>NGT_TO!AX445</f>
        <v>4.0854260511639939</v>
      </c>
      <c r="AY228" s="50">
        <f>NGT_TO!AY445</f>
        <v>4.1417286836148142</v>
      </c>
      <c r="AZ228"/>
      <c r="BA228" s="44" t="str">
        <f ca="1">$A$1</f>
        <v>Transform_TO</v>
      </c>
      <c r="BB228" s="44" t="str">
        <f>$A$156</f>
        <v>Finance inputs</v>
      </c>
      <c r="BC228" s="44" t="str">
        <f>$B$220</f>
        <v>Tax allowance</v>
      </c>
    </row>
    <row r="229" spans="1:56">
      <c r="H229" s="248"/>
      <c r="AZ229"/>
      <c r="BA229" s="44"/>
    </row>
    <row r="230" spans="1:56" ht="16.5" thickBot="1">
      <c r="C230" s="14" t="s">
        <v>393</v>
      </c>
      <c r="H230" s="248"/>
      <c r="AZ230"/>
      <c r="BA230" s="44"/>
    </row>
    <row r="231" spans="1:56" ht="16.5">
      <c r="E231" s="43" t="s">
        <v>85</v>
      </c>
      <c r="G231" s="43" t="s">
        <v>33</v>
      </c>
      <c r="H231" s="48" t="s">
        <v>1044</v>
      </c>
      <c r="AU231" s="175">
        <f>NGT_TO!AU517</f>
        <v>0.25</v>
      </c>
      <c r="AV231" s="56">
        <f>NGT_TO!AV517</f>
        <v>0.25</v>
      </c>
      <c r="AW231" s="56">
        <f>NGT_TO!AW517</f>
        <v>0.25</v>
      </c>
      <c r="AX231" s="56">
        <f>NGT_TO!AX517</f>
        <v>0.25</v>
      </c>
      <c r="AY231" s="56">
        <f>NGT_TO!AY517</f>
        <v>0.25</v>
      </c>
      <c r="AZ231"/>
      <c r="BA231" s="44" t="str">
        <f ca="1">$A$1</f>
        <v>Transform_TO</v>
      </c>
      <c r="BB231" s="44" t="str">
        <f>Transform_TO!$A$156</f>
        <v>Finance inputs</v>
      </c>
      <c r="BC231" s="44" t="str">
        <f>Transform_TO!$B$220</f>
        <v>Tax allowance</v>
      </c>
      <c r="BD231" s="44" t="str">
        <f>$C$230</f>
        <v>Rates</v>
      </c>
    </row>
    <row r="232" spans="1:56">
      <c r="E232" s="43" t="s">
        <v>247</v>
      </c>
      <c r="G232" s="43" t="str">
        <f>nominal</f>
        <v>£m nominal</v>
      </c>
      <c r="H232" s="248"/>
      <c r="I232" s="50">
        <f>NGT_TO!I555</f>
        <v>5</v>
      </c>
      <c r="AZ232"/>
      <c r="BA232" s="44" t="str">
        <f ca="1">$A$1</f>
        <v>Transform_TO</v>
      </c>
      <c r="BB232" s="44" t="str">
        <f>Transform_TO!$A$156</f>
        <v>Finance inputs</v>
      </c>
      <c r="BC232" s="44" t="str">
        <f>Transform_TO!$B$220</f>
        <v>Tax allowance</v>
      </c>
      <c r="BD232" s="44" t="str">
        <f>$C$230</f>
        <v>Rates</v>
      </c>
    </row>
    <row r="233" spans="1:56">
      <c r="E233" s="43" t="s">
        <v>246</v>
      </c>
      <c r="G233" s="43" t="s">
        <v>33</v>
      </c>
      <c r="H233" s="248"/>
      <c r="I233" s="56">
        <f>NGT_TO!I556</f>
        <v>0.5</v>
      </c>
      <c r="AZ233"/>
      <c r="BA233" s="44" t="str">
        <f ca="1">$A$1</f>
        <v>Transform_TO</v>
      </c>
      <c r="BB233" s="44" t="str">
        <f>Transform_TO!$A$156</f>
        <v>Finance inputs</v>
      </c>
      <c r="BC233" s="44" t="str">
        <f>Transform_TO!$B$220</f>
        <v>Tax allowance</v>
      </c>
      <c r="BD233" s="44" t="str">
        <f>$C$230</f>
        <v>Rates</v>
      </c>
    </row>
    <row r="234" spans="1:56">
      <c r="H234" s="248"/>
      <c r="AZ234"/>
      <c r="BA234" s="44"/>
    </row>
    <row r="235" spans="1:56" ht="20" thickBot="1">
      <c r="A235" s="10" t="s">
        <v>15</v>
      </c>
      <c r="H235" s="248"/>
      <c r="AZ235"/>
      <c r="BA235" s="44"/>
    </row>
    <row r="236" spans="1:56" ht="16.5" thickTop="1">
      <c r="H236" s="248"/>
      <c r="AZ236"/>
      <c r="BA236" s="44"/>
    </row>
    <row r="237" spans="1:56" ht="16.5">
      <c r="E237" s="43" t="s">
        <v>339</v>
      </c>
      <c r="G237" s="43" t="str">
        <f>price_label</f>
        <v>£m 23/24 prices</v>
      </c>
      <c r="H237" s="48" t="s">
        <v>1039</v>
      </c>
      <c r="AU237" s="174">
        <f>NGT_TO!AU442</f>
        <v>1.98</v>
      </c>
      <c r="AV237" s="50">
        <f>NGT_TO!AV442</f>
        <v>1.9550000000000001</v>
      </c>
      <c r="AW237" s="50">
        <f>NGT_TO!AW442</f>
        <v>1.9330000000000001</v>
      </c>
      <c r="AX237" s="50">
        <f>NGT_TO!AX442</f>
        <v>1.905</v>
      </c>
      <c r="AY237" s="50">
        <f>NGT_TO!AY442</f>
        <v>1.873</v>
      </c>
      <c r="AZ237"/>
      <c r="BA237" s="44" t="str">
        <f ca="1">$A$1</f>
        <v>Transform_TO</v>
      </c>
      <c r="BB237" s="44" t="str">
        <f>$A$235</f>
        <v>Incentive revenue</v>
      </c>
    </row>
    <row r="238" spans="1:56">
      <c r="H238" s="150"/>
      <c r="AZ238"/>
      <c r="BA238" s="44"/>
    </row>
    <row r="239" spans="1:56" ht="16.5">
      <c r="E239" s="43" t="s">
        <v>786</v>
      </c>
      <c r="F239" s="150" t="str">
        <f>NGT_TO!F38</f>
        <v>SpC 4.2</v>
      </c>
      <c r="G239" s="43" t="str">
        <f t="shared" ref="G239:G240" si="50">price_label</f>
        <v>£m 23/24 prices</v>
      </c>
      <c r="H239" s="48" t="s">
        <v>1010</v>
      </c>
      <c r="AU239" s="174">
        <f>NGT_TO!AU38</f>
        <v>0</v>
      </c>
      <c r="AV239" s="50">
        <f>NGT_TO!AV38</f>
        <v>0</v>
      </c>
      <c r="AW239" s="50">
        <f>NGT_TO!AW38</f>
        <v>0</v>
      </c>
      <c r="AX239" s="50">
        <f>NGT_TO!AX38</f>
        <v>0</v>
      </c>
      <c r="AY239" s="50">
        <f>NGT_TO!AY38</f>
        <v>0</v>
      </c>
      <c r="AZ239"/>
      <c r="BA239" s="44" t="str">
        <f ca="1">$A$1</f>
        <v>Transform_TO</v>
      </c>
      <c r="BB239" s="44" t="str">
        <f t="shared" ref="BB239:BB240" si="51">$A$235</f>
        <v>Incentive revenue</v>
      </c>
    </row>
    <row r="240" spans="1:56" ht="16.5">
      <c r="E240" s="43" t="s">
        <v>114</v>
      </c>
      <c r="G240" s="43" t="str">
        <f t="shared" si="50"/>
        <v>£m 23/24 prices</v>
      </c>
      <c r="H240" s="150" t="s">
        <v>940</v>
      </c>
      <c r="AU240" s="176">
        <f>SUM(AU239:AU239)</f>
        <v>0</v>
      </c>
      <c r="AV240" s="53">
        <f>SUM(AV239:AV239)</f>
        <v>0</v>
      </c>
      <c r="AW240" s="53">
        <f>SUM(AW239:AW239)</f>
        <v>0</v>
      </c>
      <c r="AX240" s="53">
        <f>SUM(AX239:AX239)</f>
        <v>0</v>
      </c>
      <c r="AY240" s="53">
        <f>SUM(AY239:AY239)</f>
        <v>0</v>
      </c>
      <c r="AZ240"/>
      <c r="BA240" s="44" t="str">
        <f ca="1">$A$1</f>
        <v>Transform_TO</v>
      </c>
      <c r="BB240" s="44" t="str">
        <f t="shared" si="51"/>
        <v>Incentive revenue</v>
      </c>
    </row>
    <row r="241" spans="1:54">
      <c r="H241" s="150"/>
      <c r="AZ241"/>
      <c r="BA241" s="44"/>
    </row>
    <row r="242" spans="1:54" ht="20" thickBot="1">
      <c r="A242" s="10" t="s">
        <v>134</v>
      </c>
      <c r="H242" s="150"/>
      <c r="AZ242"/>
      <c r="BA242" s="44"/>
    </row>
    <row r="243" spans="1:54" customFormat="1" ht="15" thickTop="1">
      <c r="E243" t="s">
        <v>560</v>
      </c>
      <c r="F243" s="151" t="str">
        <f>NGT_TO!F564</f>
        <v>SpC 2.5</v>
      </c>
      <c r="G243" t="s">
        <v>71</v>
      </c>
      <c r="H243" s="151" t="s">
        <v>575</v>
      </c>
      <c r="I243" s="60">
        <f>NGT_TO!I564</f>
        <v>0.03</v>
      </c>
      <c r="AT243" s="77"/>
      <c r="BA243" s="44" t="str">
        <f ca="1">$A$1</f>
        <v>Transform_TO</v>
      </c>
      <c r="BB243" s="44" t="str">
        <f>$A$242</f>
        <v>Operational performance and return adjustments</v>
      </c>
    </row>
    <row r="244" spans="1:54" customFormat="1" ht="14.5">
      <c r="E244" t="s">
        <v>561</v>
      </c>
      <c r="F244" s="151" t="str">
        <f>NGT_TO!F565</f>
        <v>SpC 2.5</v>
      </c>
      <c r="G244" t="s">
        <v>71</v>
      </c>
      <c r="H244" s="151" t="s">
        <v>576</v>
      </c>
      <c r="I244" s="60">
        <f>NGT_TO!I565</f>
        <v>0.04</v>
      </c>
      <c r="AT244" s="77"/>
      <c r="BA244" s="44" t="str">
        <f t="shared" ref="BA244:BA246" ca="1" si="52">$A$1</f>
        <v>Transform_TO</v>
      </c>
      <c r="BB244" s="44" t="str">
        <f t="shared" ref="BB244:BB246" si="53">$A$242</f>
        <v>Operational performance and return adjustments</v>
      </c>
    </row>
    <row r="245" spans="1:54" customFormat="1" ht="14.5">
      <c r="E245" t="s">
        <v>562</v>
      </c>
      <c r="F245" s="151" t="str">
        <f>NGT_TO!F566</f>
        <v>SpC 2.5</v>
      </c>
      <c r="G245" t="s">
        <v>33</v>
      </c>
      <c r="H245" s="151" t="s">
        <v>577</v>
      </c>
      <c r="I245" s="60">
        <f>NGT_TO!I566</f>
        <v>0.5</v>
      </c>
      <c r="AT245" s="77"/>
      <c r="BA245" s="44" t="str">
        <f t="shared" ca="1" si="52"/>
        <v>Transform_TO</v>
      </c>
      <c r="BB245" s="44" t="str">
        <f t="shared" si="53"/>
        <v>Operational performance and return adjustments</v>
      </c>
    </row>
    <row r="246" spans="1:54" customFormat="1" ht="14.5">
      <c r="E246" t="s">
        <v>563</v>
      </c>
      <c r="F246" s="151" t="str">
        <f>NGT_TO!F567</f>
        <v>SpC 2.5</v>
      </c>
      <c r="G246" t="s">
        <v>33</v>
      </c>
      <c r="H246" s="151" t="s">
        <v>578</v>
      </c>
      <c r="I246" s="60">
        <f>NGT_TO!I567</f>
        <v>0.9</v>
      </c>
      <c r="AT246" s="77"/>
      <c r="BA246" s="44" t="str">
        <f t="shared" ca="1" si="52"/>
        <v>Transform_TO</v>
      </c>
      <c r="BB246" s="44" t="str">
        <f t="shared" si="53"/>
        <v>Operational performance and return adjustments</v>
      </c>
    </row>
    <row r="247" spans="1:54">
      <c r="H247" s="150"/>
      <c r="AZ247"/>
      <c r="BA247" s="44"/>
    </row>
    <row r="248" spans="1:54" ht="20" thickBot="1">
      <c r="A248" s="10" t="s">
        <v>734</v>
      </c>
      <c r="H248" s="150"/>
      <c r="AZ248"/>
      <c r="BA248" s="44"/>
    </row>
    <row r="249" spans="1:54" customFormat="1" ht="15" thickTop="1">
      <c r="E249" t="s">
        <v>736</v>
      </c>
      <c r="F249" s="151"/>
      <c r="G249" t="s">
        <v>106</v>
      </c>
      <c r="H249" s="151"/>
      <c r="AT249" s="77"/>
      <c r="AU249" s="180">
        <f>NGT_TO!AU596</f>
        <v>1</v>
      </c>
      <c r="AV249" s="59">
        <f>NGT_TO!AV596</f>
        <v>1</v>
      </c>
      <c r="AW249" s="59">
        <f>NGT_TO!AW596</f>
        <v>1</v>
      </c>
      <c r="AX249" s="59">
        <f>NGT_TO!AX596</f>
        <v>1</v>
      </c>
      <c r="AY249" s="59">
        <f>NGT_TO!AY596</f>
        <v>0</v>
      </c>
      <c r="BA249" s="44" t="str">
        <f t="shared" ref="BA249:BA260" ca="1" si="54">$A$1</f>
        <v>Transform_TO</v>
      </c>
      <c r="BB249" s="116" t="str">
        <f>$A$248</f>
        <v>Revenue reprofiling adjustments</v>
      </c>
    </row>
    <row r="250" spans="1:54" customFormat="1" ht="14.5">
      <c r="E250" t="s">
        <v>737</v>
      </c>
      <c r="F250" s="151"/>
      <c r="G250" t="s">
        <v>106</v>
      </c>
      <c r="H250" s="151"/>
      <c r="AT250" s="77"/>
      <c r="AU250" s="180">
        <f>NGT_TO!AU597</f>
        <v>0</v>
      </c>
      <c r="AV250" s="59">
        <f>NGT_TO!AV597</f>
        <v>0</v>
      </c>
      <c r="AW250" s="59">
        <f>NGT_TO!AW597</f>
        <v>0</v>
      </c>
      <c r="AX250" s="59">
        <f>NGT_TO!AX597</f>
        <v>0</v>
      </c>
      <c r="AY250" s="59">
        <f>NGT_TO!AY597</f>
        <v>1</v>
      </c>
      <c r="BA250" s="44" t="str">
        <f t="shared" ca="1" si="54"/>
        <v>Transform_TO</v>
      </c>
      <c r="BB250" s="116" t="str">
        <f>$A$248</f>
        <v>Revenue reprofiling adjustments</v>
      </c>
    </row>
    <row r="251" spans="1:54" ht="16.5">
      <c r="E251" s="43" t="s">
        <v>789</v>
      </c>
      <c r="F251" s="150" t="str">
        <f>NGT_TO!F49</f>
        <v>SpC 2.1</v>
      </c>
      <c r="G251" s="43" t="str">
        <f>price_label</f>
        <v>£m 23/24 prices</v>
      </c>
      <c r="H251" s="43" t="s">
        <v>926</v>
      </c>
      <c r="AU251" s="174">
        <f>NGT_TO!AU49</f>
        <v>-42</v>
      </c>
      <c r="AV251" s="50">
        <f>NGT_TO!AV49</f>
        <v>-21</v>
      </c>
      <c r="AW251" s="50">
        <f>NGT_TO!AW49</f>
        <v>0</v>
      </c>
      <c r="AX251" s="50">
        <f>NGT_TO!AX49</f>
        <v>25</v>
      </c>
      <c r="AZ251"/>
      <c r="BA251" s="44" t="str">
        <f t="shared" ca="1" si="54"/>
        <v>Transform_TO</v>
      </c>
      <c r="BB251" s="116" t="str">
        <f>$A$248</f>
        <v>Revenue reprofiling adjustments</v>
      </c>
    </row>
    <row r="252" spans="1:54">
      <c r="E252" s="43" t="s">
        <v>124</v>
      </c>
      <c r="G252" s="43" t="s">
        <v>71</v>
      </c>
      <c r="H252" s="150"/>
      <c r="AU252" s="175">
        <f>AU191</f>
        <v>4.2098400000000008E-2</v>
      </c>
      <c r="AV252" s="56">
        <f>AV191</f>
        <v>4.2638400000000007E-2</v>
      </c>
      <c r="AW252" s="56">
        <f>AW191</f>
        <v>4.3118400000000001E-2</v>
      </c>
      <c r="AX252" s="56">
        <f>AX191</f>
        <v>4.3778400000000009E-2</v>
      </c>
      <c r="AY252" s="56">
        <f>AY191</f>
        <v>4.4558400000000005E-2</v>
      </c>
      <c r="AZ252"/>
      <c r="BA252" s="44" t="str">
        <f t="shared" ca="1" si="54"/>
        <v>Transform_TO</v>
      </c>
      <c r="BB252" s="116" t="str">
        <f>$A$248</f>
        <v>Revenue reprofiling adjustments</v>
      </c>
    </row>
    <row r="253" spans="1:54">
      <c r="H253" s="150"/>
      <c r="AZ253"/>
      <c r="BA253" s="44"/>
    </row>
    <row r="254" spans="1:54">
      <c r="E254" s="43" t="s">
        <v>738</v>
      </c>
      <c r="G254" s="43" t="str">
        <f>price_label</f>
        <v>£m 23/24 prices</v>
      </c>
      <c r="H254" s="150"/>
      <c r="AU254" s="143">
        <f>AT258</f>
        <v>0</v>
      </c>
      <c r="AV254" s="54">
        <f t="shared" ref="AV254:AY254" si="55">AU258</f>
        <v>-42</v>
      </c>
      <c r="AW254" s="54">
        <f t="shared" si="55"/>
        <v>-64.768132800000004</v>
      </c>
      <c r="AX254" s="54">
        <f t="shared" si="55"/>
        <v>-67.529742353579522</v>
      </c>
      <c r="AY254" s="54">
        <f t="shared" si="55"/>
        <v>-45.441516796278108</v>
      </c>
      <c r="AZ254"/>
      <c r="BA254" s="44" t="str">
        <f t="shared" ca="1" si="54"/>
        <v>Transform_TO</v>
      </c>
      <c r="BB254" s="116" t="str">
        <f t="shared" ref="BB254:BB258" si="56">$A$248</f>
        <v>Revenue reprofiling adjustments</v>
      </c>
    </row>
    <row r="255" spans="1:54">
      <c r="E255" s="43" t="s">
        <v>739</v>
      </c>
      <c r="G255" s="43" t="str">
        <f>price_label</f>
        <v>£m 23/24 prices</v>
      </c>
      <c r="H255" s="150"/>
      <c r="AU255" s="143">
        <f>AT258*AT252</f>
        <v>0</v>
      </c>
      <c r="AV255" s="54">
        <f t="shared" ref="AV255:AY255" si="57">AU258*AU252</f>
        <v>-1.7681328000000003</v>
      </c>
      <c r="AW255" s="54">
        <f t="shared" si="57"/>
        <v>-2.7616095535795204</v>
      </c>
      <c r="AX255" s="54">
        <f t="shared" si="57"/>
        <v>-2.9117744426985834</v>
      </c>
      <c r="AY255" s="54">
        <f t="shared" si="57"/>
        <v>-1.9893568989141819</v>
      </c>
      <c r="AZ255"/>
      <c r="BA255" s="44" t="str">
        <f t="shared" ca="1" si="54"/>
        <v>Transform_TO</v>
      </c>
      <c r="BB255" s="116" t="str">
        <f t="shared" si="56"/>
        <v>Revenue reprofiling adjustments</v>
      </c>
    </row>
    <row r="256" spans="1:54">
      <c r="E256" s="43" t="s">
        <v>740</v>
      </c>
      <c r="G256" s="43" t="str">
        <f>price_label</f>
        <v>£m 23/24 prices</v>
      </c>
      <c r="H256" s="150"/>
      <c r="AU256" s="143">
        <f>AU251*AU249</f>
        <v>-42</v>
      </c>
      <c r="AV256" s="54">
        <f t="shared" ref="AV256:AY256" si="58">AV251*AV249</f>
        <v>-21</v>
      </c>
      <c r="AW256" s="54">
        <f t="shared" si="58"/>
        <v>0</v>
      </c>
      <c r="AX256" s="54">
        <f t="shared" si="58"/>
        <v>25</v>
      </c>
      <c r="AY256" s="54">
        <f t="shared" si="58"/>
        <v>0</v>
      </c>
      <c r="AZ256"/>
      <c r="BA256" s="44" t="str">
        <f t="shared" ca="1" si="54"/>
        <v>Transform_TO</v>
      </c>
      <c r="BB256" s="116" t="str">
        <f t="shared" si="56"/>
        <v>Revenue reprofiling adjustments</v>
      </c>
    </row>
    <row r="257" spans="1:56">
      <c r="E257" s="43" t="s">
        <v>741</v>
      </c>
      <c r="G257" s="43" t="str">
        <f>price_label</f>
        <v>£m 23/24 prices</v>
      </c>
      <c r="H257" s="150"/>
      <c r="AU257" s="143">
        <f>-SUM(AU254:AU255)*AU250</f>
        <v>0</v>
      </c>
      <c r="AV257" s="54">
        <f t="shared" ref="AV257:AY257" si="59">-SUM(AV254:AV255)*AV250</f>
        <v>0</v>
      </c>
      <c r="AW257" s="54">
        <f t="shared" si="59"/>
        <v>0</v>
      </c>
      <c r="AX257" s="54">
        <f t="shared" si="59"/>
        <v>0</v>
      </c>
      <c r="AY257" s="54">
        <f t="shared" si="59"/>
        <v>47.43087369519229</v>
      </c>
      <c r="AZ257"/>
      <c r="BA257" s="44" t="str">
        <f t="shared" ca="1" si="54"/>
        <v>Transform_TO</v>
      </c>
      <c r="BB257" s="116" t="str">
        <f t="shared" si="56"/>
        <v>Revenue reprofiling adjustments</v>
      </c>
    </row>
    <row r="258" spans="1:56">
      <c r="E258" s="43" t="s">
        <v>742</v>
      </c>
      <c r="G258" s="43" t="str">
        <f>price_label</f>
        <v>£m 23/24 prices</v>
      </c>
      <c r="H258" s="150"/>
      <c r="AU258" s="143">
        <f>SUM(AU254:AU257)</f>
        <v>-42</v>
      </c>
      <c r="AV258" s="54">
        <f t="shared" ref="AV258:AY258" si="60">SUM(AV254:AV257)</f>
        <v>-64.768132800000004</v>
      </c>
      <c r="AW258" s="54">
        <f t="shared" si="60"/>
        <v>-67.529742353579522</v>
      </c>
      <c r="AX258" s="54">
        <f t="shared" si="60"/>
        <v>-45.441516796278108</v>
      </c>
      <c r="AY258" s="54">
        <f t="shared" si="60"/>
        <v>0</v>
      </c>
      <c r="AZ258"/>
      <c r="BA258" s="44" t="str">
        <f t="shared" ca="1" si="54"/>
        <v>Transform_TO</v>
      </c>
      <c r="BB258" s="116" t="str">
        <f t="shared" si="56"/>
        <v>Revenue reprofiling adjustments</v>
      </c>
    </row>
    <row r="259" spans="1:56">
      <c r="H259" s="150"/>
      <c r="AZ259"/>
      <c r="BA259" s="44"/>
    </row>
    <row r="260" spans="1:56">
      <c r="E260" s="43" t="s">
        <v>743</v>
      </c>
      <c r="G260" s="43" t="str">
        <f>price_label</f>
        <v>£m 23/24 prices</v>
      </c>
      <c r="H260" s="150"/>
      <c r="AU260" s="143">
        <f>SUM(AU256:AU257)</f>
        <v>-42</v>
      </c>
      <c r="AV260" s="54">
        <f t="shared" ref="AV260:AY260" si="61">SUM(AV256:AV257)</f>
        <v>-21</v>
      </c>
      <c r="AW260" s="54">
        <f t="shared" si="61"/>
        <v>0</v>
      </c>
      <c r="AX260" s="54">
        <f t="shared" si="61"/>
        <v>25</v>
      </c>
      <c r="AY260" s="54">
        <f t="shared" si="61"/>
        <v>47.43087369519229</v>
      </c>
      <c r="AZ260"/>
      <c r="BA260" s="44" t="str">
        <f t="shared" ca="1" si="54"/>
        <v>Transform_TO</v>
      </c>
      <c r="BB260" s="116" t="str">
        <f>$A$248</f>
        <v>Revenue reprofiling adjustments</v>
      </c>
    </row>
    <row r="261" spans="1:56">
      <c r="H261" s="150"/>
      <c r="AZ261"/>
      <c r="BA261" s="44"/>
    </row>
    <row r="262" spans="1:56" ht="20" thickBot="1">
      <c r="A262" s="10" t="s">
        <v>20</v>
      </c>
      <c r="H262" s="150"/>
      <c r="AZ262"/>
      <c r="BA262" s="44"/>
    </row>
    <row r="263" spans="1:56" ht="18" thickTop="1" thickBot="1">
      <c r="B263" s="11" t="s">
        <v>132</v>
      </c>
      <c r="H263" s="150"/>
      <c r="AZ263"/>
      <c r="BA263" s="44"/>
    </row>
    <row r="264" spans="1:56" customFormat="1" ht="17" thickTop="1">
      <c r="E264" t="s">
        <v>450</v>
      </c>
      <c r="F264" s="151" t="str">
        <f>NGT_TO!F52</f>
        <v>SpC 2.1</v>
      </c>
      <c r="G264" t="str">
        <f>nominal</f>
        <v>£m nominal</v>
      </c>
      <c r="H264" s="4" t="s">
        <v>1023</v>
      </c>
      <c r="J264" s="43" t="s">
        <v>10</v>
      </c>
      <c r="AT264" s="77"/>
      <c r="AU264" s="97">
        <f>NGT_TO!AU52</f>
        <v>0</v>
      </c>
      <c r="AV264" s="38">
        <f>NGT_TO!AV52</f>
        <v>0</v>
      </c>
      <c r="AW264" s="38">
        <f>NGT_TO!AW52</f>
        <v>0</v>
      </c>
      <c r="AX264" s="38">
        <f>NGT_TO!AX52</f>
        <v>0</v>
      </c>
      <c r="AY264" s="38">
        <f>NGT_TO!AY52</f>
        <v>0</v>
      </c>
      <c r="BA264" s="44" t="str">
        <f ca="1">$A$1</f>
        <v>Transform_TO</v>
      </c>
      <c r="BB264" s="44" t="str">
        <f>$A$262</f>
        <v>Legacy adjustments</v>
      </c>
      <c r="BC264" s="116" t="str">
        <f>$B$263</f>
        <v>Inputs for true ups to allowed revenue</v>
      </c>
      <c r="BD264" s="1"/>
    </row>
    <row r="265" spans="1:56" customFormat="1" ht="17.5">
      <c r="E265" t="s">
        <v>451</v>
      </c>
      <c r="F265" s="151" t="str">
        <f>NGT_TO!F53</f>
        <v>SpC 2.1</v>
      </c>
      <c r="G265" t="str">
        <f>price_label</f>
        <v>£m 23/24 prices</v>
      </c>
      <c r="H265" s="4" t="s">
        <v>1024</v>
      </c>
      <c r="J265" s="43" t="s">
        <v>10</v>
      </c>
      <c r="AT265" s="77"/>
      <c r="AU265" s="97">
        <f>NGT_TO!AU53</f>
        <v>0</v>
      </c>
      <c r="AV265" s="38">
        <f>NGT_TO!AV53</f>
        <v>0</v>
      </c>
      <c r="AW265" s="38">
        <f>NGT_TO!AW53</f>
        <v>0</v>
      </c>
      <c r="AX265" s="38">
        <f>NGT_TO!AX53</f>
        <v>0</v>
      </c>
      <c r="AY265" s="38">
        <f>NGT_TO!AY53</f>
        <v>0</v>
      </c>
      <c r="BA265" s="44" t="str">
        <f ca="1">$A$1</f>
        <v>Transform_TO</v>
      </c>
      <c r="BB265" s="44" t="str">
        <f>$A$262</f>
        <v>Legacy adjustments</v>
      </c>
      <c r="BC265" s="116" t="str">
        <f>$B$263</f>
        <v>Inputs for true ups to allowed revenue</v>
      </c>
      <c r="BD265" s="1"/>
    </row>
    <row r="266" spans="1:56" customFormat="1" ht="17.5">
      <c r="E266" t="s">
        <v>547</v>
      </c>
      <c r="F266" s="151" t="str">
        <f>NGT_TO!F54</f>
        <v>SpC 2.1</v>
      </c>
      <c r="G266" t="str">
        <f>nominal</f>
        <v>£m nominal</v>
      </c>
      <c r="H266" s="4" t="s">
        <v>1025</v>
      </c>
      <c r="J266" s="43" t="s">
        <v>10</v>
      </c>
      <c r="AT266" s="77"/>
      <c r="AU266" s="97">
        <f>NGT_TO!AU54</f>
        <v>0</v>
      </c>
      <c r="AV266" s="38">
        <f>NGT_TO!AV54</f>
        <v>0</v>
      </c>
      <c r="AW266" s="38">
        <f>NGT_TO!AW54</f>
        <v>0</v>
      </c>
      <c r="AX266" s="38">
        <f>NGT_TO!AX54</f>
        <v>0</v>
      </c>
      <c r="AY266" s="38">
        <f>NGT_TO!AY54</f>
        <v>0</v>
      </c>
      <c r="BA266" s="44" t="str">
        <f ca="1">$A$1</f>
        <v>Transform_TO</v>
      </c>
      <c r="BB266" s="44" t="str">
        <f>$A$262</f>
        <v>Legacy adjustments</v>
      </c>
      <c r="BC266" s="116" t="str">
        <f>$B$263</f>
        <v>Inputs for true ups to allowed revenue</v>
      </c>
      <c r="BD266" s="1"/>
    </row>
    <row r="267" spans="1:56" customFormat="1" ht="14.5">
      <c r="F267" s="151"/>
      <c r="H267" s="151"/>
      <c r="AT267" s="77"/>
      <c r="BB267" s="1"/>
      <c r="BC267" s="1"/>
      <c r="BD267" s="1"/>
    </row>
    <row r="268" spans="1:56" customFormat="1" ht="14.5">
      <c r="E268" t="s">
        <v>1021</v>
      </c>
      <c r="F268" s="151"/>
      <c r="G268" t="s">
        <v>33</v>
      </c>
      <c r="H268" s="151"/>
      <c r="I268" s="60">
        <f>NGT_TO!I578</f>
        <v>0.06</v>
      </c>
      <c r="AT268" s="77"/>
      <c r="BA268" s="44" t="str">
        <f t="shared" ref="BA268:BA273" ca="1" si="62">$A$1</f>
        <v>Transform_TO</v>
      </c>
      <c r="BB268" s="44" t="str">
        <f t="shared" ref="BB268:BB273" si="63">$A$262</f>
        <v>Legacy adjustments</v>
      </c>
      <c r="BC268" s="116" t="str">
        <f t="shared" ref="BC268:BC273" si="64">$B$263</f>
        <v>Inputs for true ups to allowed revenue</v>
      </c>
      <c r="BD268" s="1"/>
    </row>
    <row r="269" spans="1:56" customFormat="1" ht="16.5">
      <c r="E269" t="s">
        <v>454</v>
      </c>
      <c r="F269" s="151" t="str">
        <f>NGT_TO!F532</f>
        <v>SpC 2.1</v>
      </c>
      <c r="G269" t="s">
        <v>21</v>
      </c>
      <c r="H269" s="4" t="s">
        <v>1055</v>
      </c>
      <c r="J269" s="43"/>
      <c r="AT269" s="77"/>
      <c r="AV269" s="38">
        <f>NGT_TO!AV532</f>
        <v>1</v>
      </c>
      <c r="AW269" s="38">
        <f>NGT_TO!AW532</f>
        <v>1</v>
      </c>
      <c r="AX269" s="38">
        <f>NGT_TO!AX532</f>
        <v>1</v>
      </c>
      <c r="AY269" s="38">
        <f>NGT_TO!AY532</f>
        <v>1</v>
      </c>
      <c r="BA269" s="44" t="str">
        <f t="shared" ca="1" si="62"/>
        <v>Transform_TO</v>
      </c>
      <c r="BB269" s="44" t="str">
        <f t="shared" si="63"/>
        <v>Legacy adjustments</v>
      </c>
      <c r="BC269" s="116" t="str">
        <f t="shared" si="64"/>
        <v>Inputs for true ups to allowed revenue</v>
      </c>
      <c r="BD269" s="1"/>
    </row>
    <row r="270" spans="1:56" customFormat="1" ht="14.5">
      <c r="E270" t="s">
        <v>452</v>
      </c>
      <c r="F270" s="151"/>
      <c r="G270" t="s">
        <v>33</v>
      </c>
      <c r="H270" s="249"/>
      <c r="I270" s="60">
        <f>NGT_TO!I580</f>
        <v>1.15E-2</v>
      </c>
      <c r="AT270" s="77"/>
      <c r="BA270" s="44" t="str">
        <f t="shared" ca="1" si="62"/>
        <v>Transform_TO</v>
      </c>
      <c r="BB270" s="44" t="str">
        <f t="shared" si="63"/>
        <v>Legacy adjustments</v>
      </c>
      <c r="BC270" s="116" t="str">
        <f t="shared" si="64"/>
        <v>Inputs for true ups to allowed revenue</v>
      </c>
      <c r="BD270" s="1"/>
    </row>
    <row r="271" spans="1:56" customFormat="1" ht="14.5">
      <c r="E271" t="s">
        <v>1022</v>
      </c>
      <c r="F271" s="151"/>
      <c r="G271" t="s">
        <v>33</v>
      </c>
      <c r="H271" s="249"/>
      <c r="I271" s="60">
        <f>NGT_TO!I579</f>
        <v>0.06</v>
      </c>
      <c r="AT271" s="77"/>
      <c r="BA271" s="44" t="str">
        <f t="shared" ca="1" si="62"/>
        <v>Transform_TO</v>
      </c>
      <c r="BB271" s="44" t="str">
        <f t="shared" si="63"/>
        <v>Legacy adjustments</v>
      </c>
      <c r="BC271" s="116" t="str">
        <f t="shared" si="64"/>
        <v>Inputs for true ups to allowed revenue</v>
      </c>
      <c r="BD271" s="1"/>
    </row>
    <row r="272" spans="1:56" customFormat="1" ht="16.5">
      <c r="E272" t="s">
        <v>455</v>
      </c>
      <c r="F272" s="151" t="str">
        <f>NGT_TO!F533</f>
        <v>SpC 2.1</v>
      </c>
      <c r="G272" t="s">
        <v>21</v>
      </c>
      <c r="H272" s="4" t="s">
        <v>1056</v>
      </c>
      <c r="J272" s="43" t="s">
        <v>10</v>
      </c>
      <c r="AT272" s="77"/>
      <c r="AV272" s="38">
        <f>NGT_TO!AV533</f>
        <v>1</v>
      </c>
      <c r="AW272" s="38">
        <f>NGT_TO!AW533</f>
        <v>1</v>
      </c>
      <c r="AX272" s="38">
        <f>NGT_TO!AX533</f>
        <v>1</v>
      </c>
      <c r="AY272" s="38">
        <f>NGT_TO!AY533</f>
        <v>1</v>
      </c>
      <c r="BA272" s="44" t="str">
        <f t="shared" ca="1" si="62"/>
        <v>Transform_TO</v>
      </c>
      <c r="BB272" s="44" t="str">
        <f t="shared" si="63"/>
        <v>Legacy adjustments</v>
      </c>
      <c r="BC272" s="116" t="str">
        <f t="shared" si="64"/>
        <v>Inputs for true ups to allowed revenue</v>
      </c>
      <c r="BD272" s="1"/>
    </row>
    <row r="273" spans="2:56" customFormat="1" ht="14.5">
      <c r="E273" t="s">
        <v>453</v>
      </c>
      <c r="F273" s="151"/>
      <c r="G273" t="s">
        <v>33</v>
      </c>
      <c r="H273" s="249"/>
      <c r="I273" s="60">
        <f>NGT_TO!I581</f>
        <v>1.15E-2</v>
      </c>
      <c r="AT273" s="77"/>
      <c r="BA273" s="44" t="str">
        <f t="shared" ca="1" si="62"/>
        <v>Transform_TO</v>
      </c>
      <c r="BB273" s="44" t="str">
        <f t="shared" si="63"/>
        <v>Legacy adjustments</v>
      </c>
      <c r="BC273" s="116" t="str">
        <f t="shared" si="64"/>
        <v>Inputs for true ups to allowed revenue</v>
      </c>
      <c r="BD273" s="1"/>
    </row>
    <row r="274" spans="2:56" customFormat="1" ht="14.5">
      <c r="F274" s="151"/>
      <c r="H274" s="249"/>
      <c r="AT274" s="77"/>
      <c r="BB274" s="1"/>
      <c r="BC274" s="1"/>
      <c r="BD274" s="1"/>
    </row>
    <row r="275" spans="2:56" customFormat="1" ht="17.5" thickBot="1">
      <c r="B275" s="11" t="s">
        <v>20</v>
      </c>
      <c r="F275" s="151"/>
      <c r="H275" s="249"/>
      <c r="AT275" s="77"/>
      <c r="BB275" s="1"/>
      <c r="BC275" s="1"/>
      <c r="BD275" s="1"/>
    </row>
    <row r="276" spans="2:56" customFormat="1" ht="17" thickTop="1">
      <c r="E276" s="114" t="s">
        <v>456</v>
      </c>
      <c r="F276" s="151"/>
      <c r="G276" t="str">
        <f>G202</f>
        <v>annual nominal %</v>
      </c>
      <c r="H276" s="248" t="s">
        <v>1109</v>
      </c>
      <c r="AT276" s="77"/>
      <c r="AU276" s="105">
        <f>AU202</f>
        <v>5.8267641724859133E-2</v>
      </c>
      <c r="AV276" s="60">
        <f>AV202</f>
        <v>6.4883542303898922E-2</v>
      </c>
      <c r="AW276" s="60">
        <f>AW202</f>
        <v>6.5286473689554356E-2</v>
      </c>
      <c r="AX276" s="60">
        <f>AX202</f>
        <v>6.5870021424796796E-2</v>
      </c>
      <c r="AY276" s="60">
        <f>AY202</f>
        <v>6.6817637737252494E-2</v>
      </c>
      <c r="BA276" s="44" t="str">
        <f t="shared" ref="BA276:BA287" ca="1" si="65">$A$1</f>
        <v>Transform_TO</v>
      </c>
      <c r="BB276" s="44" t="str">
        <f t="shared" ref="BB276:BB287" si="66">$A$262</f>
        <v>Legacy adjustments</v>
      </c>
      <c r="BC276" s="116" t="str">
        <f t="shared" ref="BC276:BC287" si="67">$B$275</f>
        <v>Legacy adjustments</v>
      </c>
      <c r="BD276" s="1"/>
    </row>
    <row r="277" spans="2:56" customFormat="1" ht="14.5">
      <c r="E277" t="s">
        <v>457</v>
      </c>
      <c r="F277" s="151"/>
      <c r="G277" t="s">
        <v>21</v>
      </c>
      <c r="H277" s="249"/>
      <c r="AT277" s="77"/>
      <c r="AU277" s="96" cm="1">
        <f t="array" ref="AU277">PRODUCT(1+$AT276:AT276)</f>
        <v>1</v>
      </c>
      <c r="AV277" s="61" cm="1">
        <f t="array" ref="AV277">PRODUCT(1+$AT276:AU276)</f>
        <v>1.0582676417248591</v>
      </c>
      <c r="AW277" s="61" cm="1">
        <f t="array" ref="AW277">PRODUCT(1+$AT276:AV276)</f>
        <v>1.1269317950255613</v>
      </c>
      <c r="AX277" s="61" cm="1">
        <f t="array" ref="AX277">PRODUCT(1+$AT276:AW276)</f>
        <v>1.2005051980114199</v>
      </c>
      <c r="AY277" s="61" cm="1">
        <f t="array" ref="AY277">PRODUCT(1+$AT276:AX276)</f>
        <v>1.2795825011250119</v>
      </c>
      <c r="BA277" s="44" t="str">
        <f t="shared" ca="1" si="65"/>
        <v>Transform_TO</v>
      </c>
      <c r="BB277" s="44" t="str">
        <f t="shared" si="66"/>
        <v>Legacy adjustments</v>
      </c>
      <c r="BC277" s="116" t="str">
        <f t="shared" si="67"/>
        <v>Legacy adjustments</v>
      </c>
      <c r="BD277" s="1"/>
    </row>
    <row r="278" spans="2:56" customFormat="1" ht="14.5">
      <c r="H278" s="4"/>
      <c r="AT278" s="77"/>
      <c r="BB278" s="1"/>
    </row>
    <row r="279" spans="2:56" customFormat="1" ht="16.5">
      <c r="E279" t="s">
        <v>1160</v>
      </c>
      <c r="F279" s="249" t="str">
        <f>NGT_TO!F57</f>
        <v>SpC 7.2</v>
      </c>
      <c r="G279" t="str">
        <f>NGT_TO!G57</f>
        <v>£m nominal</v>
      </c>
      <c r="H279" s="249" t="s">
        <v>818</v>
      </c>
      <c r="AT279" s="77"/>
      <c r="AU279" s="97">
        <f>NGT_TO!AU57</f>
        <v>54.420008969314878</v>
      </c>
      <c r="BA279" s="44" t="str">
        <f t="shared" ca="1" si="65"/>
        <v>Transform_TO</v>
      </c>
      <c r="BB279" s="44" t="str">
        <f t="shared" si="66"/>
        <v>Legacy adjustments</v>
      </c>
      <c r="BC279" s="116" t="str">
        <f t="shared" si="67"/>
        <v>Legacy adjustments</v>
      </c>
      <c r="BD279" s="1"/>
    </row>
    <row r="280" spans="2:56" customFormat="1" ht="14.5">
      <c r="E280" t="s">
        <v>1150</v>
      </c>
      <c r="F280" s="249"/>
      <c r="G280" t="s">
        <v>830</v>
      </c>
      <c r="H280" s="249"/>
      <c r="I280" s="59">
        <f>NGT_TO!I582</f>
        <v>1</v>
      </c>
      <c r="AT280" s="77"/>
      <c r="AU280" s="96">
        <f>IF($I280=1,AU279,$AU279/$I280)</f>
        <v>54.420008969314878</v>
      </c>
      <c r="AV280" s="61">
        <f t="shared" ref="AV280:AY280" si="68">IF($I280=1,AV279,$AU279/$I280)</f>
        <v>0</v>
      </c>
      <c r="AW280" s="61">
        <f t="shared" si="68"/>
        <v>0</v>
      </c>
      <c r="AX280" s="61">
        <f t="shared" si="68"/>
        <v>0</v>
      </c>
      <c r="AY280" s="61">
        <f t="shared" si="68"/>
        <v>0</v>
      </c>
      <c r="BA280" s="44" t="str">
        <f t="shared" ca="1" si="65"/>
        <v>Transform_TO</v>
      </c>
      <c r="BB280" s="44" t="str">
        <f t="shared" si="66"/>
        <v>Legacy adjustments</v>
      </c>
      <c r="BC280" s="116" t="str">
        <f t="shared" si="67"/>
        <v>Legacy adjustments</v>
      </c>
      <c r="BD280" s="1"/>
    </row>
    <row r="281" spans="2:56" customFormat="1" ht="16.5">
      <c r="E281" t="s">
        <v>816</v>
      </c>
      <c r="F281" s="4" t="s">
        <v>790</v>
      </c>
      <c r="G281" t="str">
        <f>nominal</f>
        <v>£m nominal</v>
      </c>
      <c r="H281" s="4" t="s">
        <v>1111</v>
      </c>
      <c r="AT281" s="77"/>
      <c r="AU281" s="96">
        <f>AU280*AU$277</f>
        <v>54.420008969314878</v>
      </c>
      <c r="AV281" s="61">
        <f t="shared" ref="AV281:AY281" si="69">AV280*AV$277</f>
        <v>0</v>
      </c>
      <c r="AW281" s="61">
        <f t="shared" si="69"/>
        <v>0</v>
      </c>
      <c r="AX281" s="61">
        <f t="shared" si="69"/>
        <v>0</v>
      </c>
      <c r="AY281" s="61">
        <f t="shared" si="69"/>
        <v>0</v>
      </c>
      <c r="BA281" s="44" t="str">
        <f t="shared" ca="1" si="65"/>
        <v>Transform_TO</v>
      </c>
      <c r="BB281" s="44" t="str">
        <f t="shared" si="66"/>
        <v>Legacy adjustments</v>
      </c>
      <c r="BC281" s="116" t="str">
        <f t="shared" si="67"/>
        <v>Legacy adjustments</v>
      </c>
    </row>
    <row r="282" spans="2:56" customFormat="1" ht="14.5">
      <c r="F282" s="4"/>
      <c r="H282" s="4"/>
      <c r="AT282" s="77"/>
      <c r="BB282" s="1"/>
    </row>
    <row r="283" spans="2:56" customFormat="1" ht="16.5">
      <c r="E283" t="s">
        <v>788</v>
      </c>
      <c r="F283" s="249" t="str">
        <f>NGT_TO!F58</f>
        <v>SpC 7.3</v>
      </c>
      <c r="G283" t="str">
        <f>NGT_TO!G58</f>
        <v>£m nominal</v>
      </c>
      <c r="H283" s="249" t="s">
        <v>819</v>
      </c>
      <c r="AT283" s="77"/>
      <c r="AU283" s="97">
        <f>NGT_TO!AU58</f>
        <v>-63.172660725223999</v>
      </c>
      <c r="BA283" s="44" t="str">
        <f t="shared" ca="1" si="65"/>
        <v>Transform_TO</v>
      </c>
      <c r="BB283" s="44" t="str">
        <f t="shared" si="66"/>
        <v>Legacy adjustments</v>
      </c>
      <c r="BC283" s="116" t="str">
        <f t="shared" si="67"/>
        <v>Legacy adjustments</v>
      </c>
      <c r="BD283" s="1"/>
    </row>
    <row r="284" spans="2:56" customFormat="1" ht="14.5">
      <c r="E284" t="s">
        <v>1152</v>
      </c>
      <c r="F284" s="249"/>
      <c r="G284" t="s">
        <v>830</v>
      </c>
      <c r="H284" s="249"/>
      <c r="I284" s="59">
        <f>NGT_TO!I583</f>
        <v>1</v>
      </c>
      <c r="AT284" s="77"/>
      <c r="AU284" s="96">
        <f>IF($I284=1,AU283,$AU283/$I284)</f>
        <v>-63.172660725223999</v>
      </c>
      <c r="AV284" s="61">
        <f t="shared" ref="AV284:AY284" si="70">IF($I284=1,AV283,$AU283/$I284)</f>
        <v>0</v>
      </c>
      <c r="AW284" s="61">
        <f t="shared" si="70"/>
        <v>0</v>
      </c>
      <c r="AX284" s="61">
        <f t="shared" si="70"/>
        <v>0</v>
      </c>
      <c r="AY284" s="61">
        <f t="shared" si="70"/>
        <v>0</v>
      </c>
      <c r="BA284" s="44" t="str">
        <f t="shared" ca="1" si="65"/>
        <v>Transform_TO</v>
      </c>
      <c r="BB284" s="44" t="str">
        <f t="shared" si="66"/>
        <v>Legacy adjustments</v>
      </c>
      <c r="BC284" s="116" t="str">
        <f t="shared" si="67"/>
        <v>Legacy adjustments</v>
      </c>
      <c r="BD284" s="1"/>
    </row>
    <row r="285" spans="2:56" customFormat="1" ht="16.5">
      <c r="E285" t="s">
        <v>817</v>
      </c>
      <c r="F285" s="4" t="s">
        <v>791</v>
      </c>
      <c r="G285" t="str">
        <f>nominal</f>
        <v>£m nominal</v>
      </c>
      <c r="H285" s="4" t="s">
        <v>1112</v>
      </c>
      <c r="AT285" s="77"/>
      <c r="AU285" s="96">
        <f>AU284*AU$277</f>
        <v>-63.172660725223999</v>
      </c>
      <c r="AV285" s="61">
        <f t="shared" ref="AV285:AY285" si="71">AV284*AV$277</f>
        <v>0</v>
      </c>
      <c r="AW285" s="61">
        <f t="shared" si="71"/>
        <v>0</v>
      </c>
      <c r="AX285" s="61">
        <f t="shared" si="71"/>
        <v>0</v>
      </c>
      <c r="AY285" s="61">
        <f t="shared" si="71"/>
        <v>0</v>
      </c>
      <c r="BA285" s="44" t="str">
        <f t="shared" ca="1" si="65"/>
        <v>Transform_TO</v>
      </c>
      <c r="BB285" s="44" t="str">
        <f t="shared" si="66"/>
        <v>Legacy adjustments</v>
      </c>
      <c r="BC285" s="116" t="str">
        <f t="shared" si="67"/>
        <v>Legacy adjustments</v>
      </c>
    </row>
    <row r="286" spans="2:56" customFormat="1" ht="14.5">
      <c r="F286" s="4"/>
      <c r="H286" s="4"/>
      <c r="AT286" s="77"/>
      <c r="BB286" s="1"/>
    </row>
    <row r="287" spans="2:56" customFormat="1" ht="16.5">
      <c r="E287" t="s">
        <v>820</v>
      </c>
      <c r="F287" s="249" t="s">
        <v>887</v>
      </c>
      <c r="G287" t="str">
        <f>nominal</f>
        <v>£m nominal</v>
      </c>
      <c r="H287" s="249" t="s">
        <v>1113</v>
      </c>
      <c r="AT287" s="77"/>
      <c r="AU287" s="96">
        <f>SUM(AU281,AU285)</f>
        <v>-8.7526517559091204</v>
      </c>
      <c r="AV287" s="61">
        <f t="shared" ref="AV287:AY287" si="72">SUM(AV281,AV285)</f>
        <v>0</v>
      </c>
      <c r="AW287" s="61">
        <f t="shared" si="72"/>
        <v>0</v>
      </c>
      <c r="AX287" s="61">
        <f t="shared" si="72"/>
        <v>0</v>
      </c>
      <c r="AY287" s="61">
        <f t="shared" si="72"/>
        <v>0</v>
      </c>
      <c r="BA287" s="44" t="str">
        <f t="shared" ca="1" si="65"/>
        <v>Transform_TO</v>
      </c>
      <c r="BB287" s="44" t="str">
        <f t="shared" si="66"/>
        <v>Legacy adjustments</v>
      </c>
      <c r="BC287" s="116" t="str">
        <f t="shared" si="67"/>
        <v>Legacy adjustments</v>
      </c>
      <c r="BD287" s="1"/>
    </row>
    <row r="288" spans="2:56">
      <c r="F288" s="248"/>
      <c r="H288" s="248"/>
    </row>
    <row r="289" spans="1:56" customFormat="1" ht="20" thickBot="1">
      <c r="A289" s="15" t="s">
        <v>241</v>
      </c>
      <c r="F289" s="151"/>
      <c r="H289" s="151"/>
      <c r="AT289" s="77"/>
      <c r="BA289" s="1"/>
      <c r="BB289" s="1"/>
      <c r="BC289" s="1"/>
      <c r="BD289" s="1"/>
    </row>
    <row r="290" spans="1:56">
      <c r="H290" s="150"/>
    </row>
    <row r="291" spans="1:56">
      <c r="H291" s="150"/>
    </row>
    <row r="292" spans="1:56" hidden="1">
      <c r="H292" s="150"/>
    </row>
    <row r="293" spans="1:56" hidden="1">
      <c r="H293" s="150"/>
    </row>
    <row r="294" spans="1:56" hidden="1">
      <c r="H294" s="150"/>
    </row>
    <row r="295" spans="1:56" hidden="1">
      <c r="H295" s="150"/>
    </row>
    <row r="296" spans="1:56" hidden="1">
      <c r="H296" s="150"/>
    </row>
    <row r="297" spans="1:56" hidden="1">
      <c r="H297" s="150"/>
    </row>
    <row r="298" spans="1:56" hidden="1">
      <c r="H298" s="150"/>
    </row>
    <row r="299" spans="1:56" hidden="1">
      <c r="H299" s="150"/>
    </row>
    <row r="300" spans="1:56" hidden="1">
      <c r="H300" s="150"/>
    </row>
    <row r="301" spans="1:56" hidden="1">
      <c r="H301" s="150"/>
    </row>
    <row r="302" spans="1:56" hidden="1">
      <c r="H302" s="150"/>
    </row>
    <row r="303" spans="1:56" hidden="1">
      <c r="H303" s="150"/>
    </row>
    <row r="304" spans="1:56" hidden="1">
      <c r="H304" s="150"/>
    </row>
    <row r="305" spans="8:8" hidden="1">
      <c r="H305" s="150"/>
    </row>
    <row r="306" spans="8:8" hidden="1">
      <c r="H306" s="150"/>
    </row>
    <row r="307" spans="8:8" hidden="1">
      <c r="H307" s="150"/>
    </row>
    <row r="308" spans="8:8" hidden="1">
      <c r="H308" s="150"/>
    </row>
    <row r="309" spans="8:8" hidden="1">
      <c r="H309" s="150"/>
    </row>
    <row r="310" spans="8:8" hidden="1">
      <c r="H310" s="150"/>
    </row>
    <row r="311" spans="8:8" hidden="1">
      <c r="H311" s="150"/>
    </row>
    <row r="312" spans="8:8" hidden="1">
      <c r="H312" s="150"/>
    </row>
    <row r="313" spans="8:8" hidden="1">
      <c r="H313" s="150"/>
    </row>
    <row r="314" spans="8:8" hidden="1">
      <c r="H314" s="150"/>
    </row>
    <row r="315" spans="8:8" hidden="1">
      <c r="H315" s="150"/>
    </row>
    <row r="316" spans="8:8" hidden="1">
      <c r="H316" s="150"/>
    </row>
    <row r="317" spans="8:8" hidden="1">
      <c r="H317" s="150"/>
    </row>
    <row r="318" spans="8:8" hidden="1">
      <c r="H318" s="150"/>
    </row>
    <row r="319" spans="8:8" hidden="1">
      <c r="H319" s="150"/>
    </row>
    <row r="320" spans="8:8" hidden="1">
      <c r="H320" s="150"/>
    </row>
    <row r="321" spans="8:8" hidden="1">
      <c r="H321" s="150"/>
    </row>
    <row r="322" spans="8:8" hidden="1">
      <c r="H322" s="150"/>
    </row>
    <row r="323" spans="8:8" hidden="1">
      <c r="H323" s="150"/>
    </row>
    <row r="324" spans="8:8" hidden="1">
      <c r="H324" s="150"/>
    </row>
    <row r="325" spans="8:8" hidden="1">
      <c r="H325" s="150"/>
    </row>
    <row r="326" spans="8:8" hidden="1">
      <c r="H326" s="150"/>
    </row>
    <row r="327" spans="8:8" hidden="1">
      <c r="H327" s="150"/>
    </row>
    <row r="328" spans="8:8" hidden="1">
      <c r="H328" s="150"/>
    </row>
    <row r="329" spans="8:8" hidden="1">
      <c r="H329" s="150"/>
    </row>
    <row r="330" spans="8:8" hidden="1">
      <c r="H330" s="150"/>
    </row>
    <row r="331" spans="8:8" hidden="1">
      <c r="H331" s="150"/>
    </row>
    <row r="332" spans="8:8" hidden="1">
      <c r="H332" s="150"/>
    </row>
    <row r="333" spans="8:8" hidden="1">
      <c r="H333" s="150"/>
    </row>
    <row r="334" spans="8:8" hidden="1">
      <c r="H334" s="150"/>
    </row>
    <row r="335" spans="8:8" hidden="1">
      <c r="H335" s="150"/>
    </row>
    <row r="336" spans="8:8" hidden="1">
      <c r="H336" s="150"/>
    </row>
    <row r="337" spans="8:8" hidden="1">
      <c r="H337" s="150"/>
    </row>
    <row r="338" spans="8:8" hidden="1">
      <c r="H338" s="150"/>
    </row>
    <row r="339" spans="8:8" hidden="1">
      <c r="H339" s="150"/>
    </row>
    <row r="340" spans="8:8" hidden="1">
      <c r="H340" s="150"/>
    </row>
    <row r="341" spans="8:8" hidden="1">
      <c r="H341" s="150"/>
    </row>
    <row r="342" spans="8:8" hidden="1">
      <c r="H342" s="150"/>
    </row>
    <row r="343" spans="8:8" hidden="1">
      <c r="H343" s="150"/>
    </row>
    <row r="344" spans="8:8" hidden="1">
      <c r="H344" s="150"/>
    </row>
    <row r="345" spans="8:8" hidden="1">
      <c r="H345" s="150"/>
    </row>
    <row r="346" spans="8:8" hidden="1">
      <c r="H346" s="150"/>
    </row>
    <row r="347" spans="8:8" hidden="1">
      <c r="H347" s="150"/>
    </row>
    <row r="348" spans="8:8" hidden="1">
      <c r="H348" s="150"/>
    </row>
    <row r="349" spans="8:8" hidden="1">
      <c r="H349" s="150"/>
    </row>
    <row r="350" spans="8:8" hidden="1">
      <c r="H350" s="150"/>
    </row>
    <row r="351" spans="8:8" hidden="1">
      <c r="H351" s="150"/>
    </row>
    <row r="352" spans="8:8" hidden="1">
      <c r="H352" s="150"/>
    </row>
    <row r="353" spans="8:8" hidden="1">
      <c r="H353" s="150"/>
    </row>
    <row r="354" spans="8:8" hidden="1">
      <c r="H354" s="150"/>
    </row>
    <row r="355" spans="8:8" hidden="1">
      <c r="H355" s="150"/>
    </row>
    <row r="356" spans="8:8" hidden="1">
      <c r="H356" s="150"/>
    </row>
    <row r="357" spans="8:8" hidden="1">
      <c r="H357" s="150"/>
    </row>
    <row r="358" spans="8:8" hidden="1">
      <c r="H358" s="150"/>
    </row>
    <row r="359" spans="8:8" hidden="1">
      <c r="H359" s="150"/>
    </row>
    <row r="360" spans="8:8" hidden="1">
      <c r="H360" s="150"/>
    </row>
    <row r="361" spans="8:8" hidden="1">
      <c r="H361" s="150"/>
    </row>
    <row r="362" spans="8:8" hidden="1">
      <c r="H362" s="150"/>
    </row>
    <row r="363" spans="8:8" hidden="1">
      <c r="H363" s="150"/>
    </row>
    <row r="364" spans="8:8" hidden="1">
      <c r="H364" s="150"/>
    </row>
    <row r="365" spans="8:8" hidden="1">
      <c r="H365" s="150"/>
    </row>
    <row r="366" spans="8:8" hidden="1">
      <c r="H366" s="150"/>
    </row>
    <row r="367" spans="8:8" hidden="1">
      <c r="H367" s="150"/>
    </row>
    <row r="368" spans="8:8" hidden="1">
      <c r="H368" s="150"/>
    </row>
    <row r="369" spans="8:8" hidden="1">
      <c r="H369" s="150"/>
    </row>
    <row r="370" spans="8:8" hidden="1">
      <c r="H370" s="150"/>
    </row>
    <row r="371" spans="8:8" hidden="1">
      <c r="H371" s="150"/>
    </row>
    <row r="372" spans="8:8" hidden="1">
      <c r="H372" s="150"/>
    </row>
    <row r="373" spans="8:8" hidden="1">
      <c r="H373" s="150"/>
    </row>
    <row r="374" spans="8:8" hidden="1">
      <c r="H374" s="150"/>
    </row>
    <row r="375" spans="8:8" hidden="1">
      <c r="H375" s="150"/>
    </row>
    <row r="376" spans="8:8" hidden="1">
      <c r="H376" s="150"/>
    </row>
    <row r="377" spans="8:8" hidden="1">
      <c r="H377" s="150"/>
    </row>
    <row r="378" spans="8:8" hidden="1">
      <c r="H378" s="150"/>
    </row>
    <row r="379" spans="8:8" hidden="1">
      <c r="H379" s="150"/>
    </row>
    <row r="380" spans="8:8" hidden="1">
      <c r="H380" s="150"/>
    </row>
    <row r="381" spans="8:8" hidden="1">
      <c r="H381" s="150"/>
    </row>
    <row r="382" spans="8:8" hidden="1">
      <c r="H382" s="150"/>
    </row>
    <row r="383" spans="8:8" hidden="1">
      <c r="H383" s="150"/>
    </row>
    <row r="384" spans="8:8" hidden="1">
      <c r="H384" s="150"/>
    </row>
    <row r="385" spans="8:8" hidden="1">
      <c r="H385" s="150"/>
    </row>
    <row r="386" spans="8:8" hidden="1">
      <c r="H386" s="150"/>
    </row>
    <row r="387" spans="8:8" hidden="1">
      <c r="H387" s="150"/>
    </row>
    <row r="388" spans="8:8" hidden="1">
      <c r="H388" s="150"/>
    </row>
    <row r="389" spans="8:8" hidden="1">
      <c r="H389" s="150"/>
    </row>
    <row r="390" spans="8:8" hidden="1">
      <c r="H390" s="150"/>
    </row>
    <row r="391" spans="8:8" hidden="1">
      <c r="H391" s="150"/>
    </row>
    <row r="392" spans="8:8" hidden="1">
      <c r="H392" s="150"/>
    </row>
    <row r="393" spans="8:8" hidden="1">
      <c r="H393" s="150"/>
    </row>
    <row r="394" spans="8:8" hidden="1">
      <c r="H394" s="150"/>
    </row>
    <row r="395" spans="8:8" hidden="1">
      <c r="H395" s="150"/>
    </row>
    <row r="396" spans="8:8" hidden="1">
      <c r="H396" s="150"/>
    </row>
    <row r="397" spans="8:8" hidden="1">
      <c r="H397" s="150"/>
    </row>
    <row r="398" spans="8:8" hidden="1">
      <c r="H398" s="150"/>
    </row>
    <row r="399" spans="8:8" hidden="1">
      <c r="H399" s="150"/>
    </row>
    <row r="400" spans="8:8" hidden="1">
      <c r="H400" s="150"/>
    </row>
    <row r="401" spans="8:8" hidden="1">
      <c r="H401" s="150"/>
    </row>
    <row r="402" spans="8:8" hidden="1">
      <c r="H402" s="150"/>
    </row>
    <row r="403" spans="8:8" hidden="1">
      <c r="H403" s="150"/>
    </row>
    <row r="404" spans="8:8" hidden="1">
      <c r="H404" s="150"/>
    </row>
    <row r="405" spans="8:8" hidden="1">
      <c r="H405" s="150"/>
    </row>
    <row r="406" spans="8:8" hidden="1">
      <c r="H406" s="150"/>
    </row>
    <row r="407" spans="8:8" hidden="1">
      <c r="H407" s="150"/>
    </row>
    <row r="408" spans="8:8" hidden="1">
      <c r="H408" s="150"/>
    </row>
    <row r="409" spans="8:8" hidden="1">
      <c r="H409" s="150"/>
    </row>
    <row r="410" spans="8:8" hidden="1">
      <c r="H410" s="150"/>
    </row>
    <row r="411" spans="8:8" hidden="1">
      <c r="H411" s="150"/>
    </row>
    <row r="412" spans="8:8" hidden="1">
      <c r="H412" s="150"/>
    </row>
    <row r="413" spans="8:8" hidden="1">
      <c r="H413" s="150"/>
    </row>
  </sheetData>
  <dataConsolidate/>
  <conditionalFormatting sqref="H1">
    <cfRule type="cellIs" dxfId="17" priority="1" operator="equal">
      <formula>"ERROR"</formula>
    </cfRule>
  </conditionalFormatting>
  <pageMargins left="0.23622047244094491" right="0.23622047244094491" top="0.74803149606299213" bottom="0.74803149606299213" header="0.31496062992125984" footer="0.31496062992125984"/>
  <pageSetup paperSize="8" fitToHeight="0" orientation="portrait" r:id="rId1"/>
  <headerFooter>
    <oddFooter>&amp;LDraft at &amp;D_x000D_&amp;1#&amp;"Aptos"&amp;10&amp;K000000 National Gas | Business Use&amp;R"&amp;A" sheet&amp;R"&amp;A" sheet&amp;R"&amp;A" sheet&amp;R"&amp;A" sheet&amp;R"&amp;A" sheet&amp;R"&amp;A" sheet&amp;R"&amp;A" sheet&amp;R"&amp;A" sheet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38F22A-FBB8-42EA-A562-F5730EDB7D15}">
  <sheetPr codeName="Sheet15">
    <tabColor rgb="FF7FB5BA"/>
    <pageSetUpPr autoPageBreaks="0" fitToPage="1"/>
  </sheetPr>
  <dimension ref="A1:BL155"/>
  <sheetViews>
    <sheetView workbookViewId="0">
      <pane xSplit="10" ySplit="4" topLeftCell="K52" activePane="bottomRight" state="frozen"/>
      <selection pane="topRight" activeCell="K1" sqref="K1"/>
      <selection pane="bottomLeft" activeCell="A5" sqref="A5"/>
      <selection pane="bottomRight" activeCell="H70" sqref="H70"/>
    </sheetView>
  </sheetViews>
  <sheetFormatPr defaultColWidth="0" defaultRowHeight="16" zeroHeight="1" outlineLevelCol="1"/>
  <cols>
    <col min="1" max="2" width="1.81640625" style="8" customWidth="1"/>
    <col min="3" max="3" width="1.81640625" customWidth="1"/>
    <col min="4" max="4" width="15.7265625" customWidth="1"/>
    <col min="5" max="5" width="77.26953125" style="43" customWidth="1"/>
    <col min="6" max="6" width="8.7265625" style="150" customWidth="1"/>
    <col min="7" max="7" width="17.7265625" style="43" customWidth="1"/>
    <col min="8" max="8" width="9.7265625" style="150" customWidth="1"/>
    <col min="9" max="9" width="11.7265625" style="43" customWidth="1"/>
    <col min="10" max="10" width="2.08984375" style="43" customWidth="1"/>
    <col min="11" max="45" width="11.7265625" style="43" hidden="1" customWidth="1" outlineLevel="1"/>
    <col min="46" max="46" width="11.7265625" style="76" customWidth="1" collapsed="1"/>
    <col min="47" max="51" width="11.7265625" style="43" customWidth="1"/>
    <col min="52" max="52" width="11.7265625" style="44" customWidth="1"/>
    <col min="53" max="53" width="10.7265625" style="1" customWidth="1"/>
    <col min="54" max="56" width="10.7265625" style="44" customWidth="1"/>
    <col min="57" max="57" width="10.7265625" style="43" customWidth="1"/>
    <col min="58" max="58" width="1.7265625" style="8" customWidth="1"/>
    <col min="59" max="59" width="12.08984375" style="8" hidden="1" customWidth="1"/>
    <col min="60" max="60" width="16" style="8" hidden="1" customWidth="1"/>
    <col min="61" max="63" width="12.08984375" style="8" hidden="1" customWidth="1"/>
    <col min="64" max="64" width="1.81640625" style="8" hidden="1" customWidth="1"/>
    <col min="65" max="16384" width="10.26953125" style="8" hidden="1"/>
  </cols>
  <sheetData>
    <row r="1" spans="1:56" s="119" customFormat="1" ht="14.5">
      <c r="A1" s="118" t="str" cm="1">
        <f t="array" aca="1" ref="A1" ca="1">MID(CELL("filename",$A$1),FIND("]",CELL("filename",$A$1))+1,255)</f>
        <v>Transform_SO</v>
      </c>
      <c r="F1" s="153"/>
      <c r="G1" s="119" t="s">
        <v>515</v>
      </c>
      <c r="H1" s="152" t="str">
        <f ca="1">Checks!I7</f>
        <v>ERROR</v>
      </c>
      <c r="AT1" s="124"/>
      <c r="BA1" s="121"/>
      <c r="BB1" s="121"/>
      <c r="BC1" s="121"/>
    </row>
    <row r="2" spans="1:56" s="119" customFormat="1" ht="14.5">
      <c r="F2" s="153"/>
      <c r="H2" s="153"/>
      <c r="AT2" s="124"/>
      <c r="BA2" s="121"/>
      <c r="BB2" s="121"/>
      <c r="BC2" s="121"/>
    </row>
    <row r="3" spans="1:56" s="119" customFormat="1" ht="14.5">
      <c r="E3" s="119" t="s">
        <v>0</v>
      </c>
      <c r="F3" s="153" t="s">
        <v>1</v>
      </c>
      <c r="G3" s="119" t="s">
        <v>2</v>
      </c>
      <c r="H3" s="153" t="s">
        <v>3</v>
      </c>
      <c r="I3" s="119" t="str">
        <f>NGT_TO!I3</f>
        <v>Constant</v>
      </c>
      <c r="AT3" s="124"/>
      <c r="AU3" s="122" t="str">
        <f>NGT_TO!AU3</f>
        <v>Annual values</v>
      </c>
      <c r="BA3" s="121"/>
      <c r="BB3" s="121"/>
      <c r="BC3" s="121"/>
    </row>
    <row r="4" spans="1:56" s="119" customFormat="1" ht="14.5">
      <c r="E4" s="119" t="s">
        <v>6</v>
      </c>
      <c r="F4" s="153"/>
      <c r="H4" s="153"/>
      <c r="K4" s="122">
        <f>NGT_TO!K4</f>
        <v>33328</v>
      </c>
      <c r="L4" s="122">
        <f>NGT_TO!L4</f>
        <v>33694</v>
      </c>
      <c r="M4" s="122">
        <f>NGT_TO!M4</f>
        <v>34059</v>
      </c>
      <c r="N4" s="122">
        <f>NGT_TO!N4</f>
        <v>34424</v>
      </c>
      <c r="O4" s="122">
        <f>NGT_TO!O4</f>
        <v>34789</v>
      </c>
      <c r="P4" s="122">
        <f>NGT_TO!P4</f>
        <v>35155</v>
      </c>
      <c r="Q4" s="122">
        <f>NGT_TO!Q4</f>
        <v>35520</v>
      </c>
      <c r="R4" s="122">
        <f>NGT_TO!R4</f>
        <v>35885</v>
      </c>
      <c r="S4" s="122">
        <f>NGT_TO!S4</f>
        <v>36250</v>
      </c>
      <c r="T4" s="122">
        <f>NGT_TO!T4</f>
        <v>36616</v>
      </c>
      <c r="U4" s="122">
        <f>NGT_TO!U4</f>
        <v>36981</v>
      </c>
      <c r="V4" s="122">
        <f>NGT_TO!V4</f>
        <v>37346</v>
      </c>
      <c r="W4" s="122">
        <f>NGT_TO!W4</f>
        <v>37711</v>
      </c>
      <c r="X4" s="122">
        <f>NGT_TO!X4</f>
        <v>38077</v>
      </c>
      <c r="Y4" s="122">
        <f>NGT_TO!Y4</f>
        <v>38442</v>
      </c>
      <c r="Z4" s="122">
        <f>NGT_TO!Z4</f>
        <v>38807</v>
      </c>
      <c r="AA4" s="122">
        <f>NGT_TO!AA4</f>
        <v>39172</v>
      </c>
      <c r="AB4" s="122">
        <f>NGT_TO!AB4</f>
        <v>39538</v>
      </c>
      <c r="AC4" s="122">
        <f>NGT_TO!AC4</f>
        <v>39903</v>
      </c>
      <c r="AD4" s="122">
        <f>NGT_TO!AD4</f>
        <v>40268</v>
      </c>
      <c r="AE4" s="122">
        <f>NGT_TO!AE4</f>
        <v>40633</v>
      </c>
      <c r="AF4" s="122">
        <f>NGT_TO!AF4</f>
        <v>40999</v>
      </c>
      <c r="AG4" s="122">
        <f>NGT_TO!AG4</f>
        <v>41364</v>
      </c>
      <c r="AH4" s="122">
        <f>NGT_TO!AH4</f>
        <v>41729</v>
      </c>
      <c r="AI4" s="122">
        <f>NGT_TO!AI4</f>
        <v>42094</v>
      </c>
      <c r="AJ4" s="122">
        <f>NGT_TO!AJ4</f>
        <v>42460</v>
      </c>
      <c r="AK4" s="122">
        <f>NGT_TO!AK4</f>
        <v>42825</v>
      </c>
      <c r="AL4" s="122">
        <f>NGT_TO!AL4</f>
        <v>43190</v>
      </c>
      <c r="AM4" s="122">
        <f>NGT_TO!AM4</f>
        <v>43555</v>
      </c>
      <c r="AN4" s="122">
        <f>NGT_TO!AN4</f>
        <v>43921</v>
      </c>
      <c r="AO4" s="122">
        <f>NGT_TO!AO4</f>
        <v>44286</v>
      </c>
      <c r="AP4" s="122">
        <f>NGT_TO!AP4</f>
        <v>44651</v>
      </c>
      <c r="AQ4" s="122">
        <f>NGT_TO!AQ4</f>
        <v>45016</v>
      </c>
      <c r="AR4" s="122">
        <f>NGT_TO!AR4</f>
        <v>45382</v>
      </c>
      <c r="AS4" s="122">
        <f>NGT_TO!AS4</f>
        <v>45747</v>
      </c>
      <c r="AT4" s="123">
        <f>NGT_TO!AT4</f>
        <v>46112</v>
      </c>
      <c r="AU4" s="122">
        <f>NGT_TO!AU4</f>
        <v>46477</v>
      </c>
      <c r="AV4" s="122">
        <f>NGT_TO!AV4</f>
        <v>46843</v>
      </c>
      <c r="AW4" s="122">
        <f>NGT_TO!AW4</f>
        <v>47208</v>
      </c>
      <c r="AX4" s="122">
        <f>NGT_TO!AX4</f>
        <v>47573</v>
      </c>
      <c r="AY4" s="122">
        <f>NGT_TO!AY4</f>
        <v>47938</v>
      </c>
      <c r="BA4" s="127" t="s">
        <v>527</v>
      </c>
      <c r="BB4" s="127" t="s">
        <v>528</v>
      </c>
      <c r="BC4" s="127" t="s">
        <v>529</v>
      </c>
      <c r="BD4" s="127" t="s">
        <v>530</v>
      </c>
    </row>
    <row r="5" spans="1:56">
      <c r="A5"/>
      <c r="AZ5"/>
    </row>
    <row r="6" spans="1:56" ht="20" thickBot="1">
      <c r="A6" s="15" t="s">
        <v>104</v>
      </c>
      <c r="AZ6"/>
    </row>
    <row r="7" spans="1:56" ht="16.5" thickTop="1">
      <c r="A7"/>
      <c r="E7" s="43" t="s">
        <v>302</v>
      </c>
      <c r="G7" s="43" t="s">
        <v>783</v>
      </c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 s="77"/>
      <c r="AU7" s="172" t="b">
        <f>SUM(NGT_SO!AU8:AU9)&lt;&gt;0</f>
        <v>0</v>
      </c>
      <c r="AV7" s="52" t="b">
        <f>SUM(NGT_SO!AV8:AV9)&lt;&gt;0</f>
        <v>0</v>
      </c>
      <c r="AW7" s="52" t="b">
        <f>SUM(NGT_SO!AW8:AW9)&lt;&gt;0</f>
        <v>0</v>
      </c>
      <c r="AX7" s="52" t="b">
        <f>SUM(NGT_SO!AX8:AX9)&lt;&gt;0</f>
        <v>0</v>
      </c>
      <c r="AY7" s="52" t="b">
        <f>SUM(NGT_SO!AY8:AY9)&lt;&gt;0</f>
        <v>0</v>
      </c>
      <c r="AZ7"/>
      <c r="BA7" s="44" t="str">
        <f ca="1">$A$1</f>
        <v>Transform_SO</v>
      </c>
      <c r="BB7" s="44" t="str">
        <f>$A$6</f>
        <v>Flags</v>
      </c>
    </row>
    <row r="8" spans="1:56">
      <c r="A8"/>
      <c r="E8" s="43" t="s">
        <v>556</v>
      </c>
      <c r="G8" s="43" t="s">
        <v>783</v>
      </c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 s="77"/>
      <c r="AU8" s="173" t="b">
        <f>NOT(AU7)</f>
        <v>1</v>
      </c>
      <c r="AV8" s="51" t="b">
        <f t="shared" ref="AV8:AY8" si="0">NOT(AV7)</f>
        <v>1</v>
      </c>
      <c r="AW8" s="51" t="b">
        <f t="shared" si="0"/>
        <v>1</v>
      </c>
      <c r="AX8" s="51" t="b">
        <f t="shared" si="0"/>
        <v>1</v>
      </c>
      <c r="AY8" s="51" t="b">
        <f t="shared" si="0"/>
        <v>1</v>
      </c>
      <c r="AZ8"/>
      <c r="BA8" s="44" t="str">
        <f ca="1">$A$1</f>
        <v>Transform_SO</v>
      </c>
      <c r="BB8" s="44" t="str">
        <f>$A$6</f>
        <v>Flags</v>
      </c>
    </row>
    <row r="9" spans="1:56">
      <c r="A9"/>
      <c r="AZ9"/>
    </row>
    <row r="10" spans="1:56" ht="20" thickBot="1">
      <c r="A10" s="10" t="s">
        <v>8</v>
      </c>
      <c r="BA10" s="44"/>
    </row>
    <row r="11" spans="1:56" ht="17" thickTop="1">
      <c r="E11" s="43" t="s">
        <v>248</v>
      </c>
      <c r="G11" s="43" t="str">
        <f t="shared" ref="G11:G12" si="1">price_label</f>
        <v>£m 23/24 prices</v>
      </c>
      <c r="H11" s="150" t="s">
        <v>1119</v>
      </c>
      <c r="AU11" s="174">
        <f>NGT_SO!AU8</f>
        <v>0</v>
      </c>
      <c r="AV11" s="50">
        <f>NGT_SO!AV8</f>
        <v>0</v>
      </c>
      <c r="AW11" s="50">
        <f>NGT_SO!AW8</f>
        <v>0</v>
      </c>
      <c r="AX11" s="50">
        <f>NGT_SO!AX8</f>
        <v>0</v>
      </c>
      <c r="AY11" s="50">
        <f>NGT_SO!AY8</f>
        <v>0</v>
      </c>
      <c r="BA11" s="44" t="str">
        <f ca="1">$A$1</f>
        <v>Transform_SO</v>
      </c>
      <c r="BB11" s="44" t="str">
        <f>$A$10</f>
        <v>Actual totex</v>
      </c>
    </row>
    <row r="12" spans="1:56" ht="16.5">
      <c r="E12" s="43" t="s">
        <v>283</v>
      </c>
      <c r="G12" s="43" t="str">
        <f t="shared" si="1"/>
        <v>£m 23/24 prices</v>
      </c>
      <c r="H12" s="150" t="s">
        <v>1120</v>
      </c>
      <c r="AU12" s="174">
        <f>NGT_SO!AU9</f>
        <v>0</v>
      </c>
      <c r="AV12" s="50">
        <f>NGT_SO!AV9</f>
        <v>0</v>
      </c>
      <c r="AW12" s="50">
        <f>NGT_SO!AW9</f>
        <v>0</v>
      </c>
      <c r="AX12" s="50">
        <f>NGT_SO!AX9</f>
        <v>0</v>
      </c>
      <c r="AY12" s="50">
        <f>NGT_SO!AY9</f>
        <v>0</v>
      </c>
      <c r="BA12" s="44" t="str">
        <f ca="1">$A$1</f>
        <v>Transform_SO</v>
      </c>
      <c r="BB12" s="44" t="str">
        <f>$A$10</f>
        <v>Actual totex</v>
      </c>
    </row>
    <row r="13" spans="1:56">
      <c r="BA13" s="44"/>
    </row>
    <row r="14" spans="1:56" ht="20" thickBot="1">
      <c r="A14" s="10" t="s">
        <v>65</v>
      </c>
    </row>
    <row r="15" spans="1:56" ht="18" thickTop="1" thickBot="1">
      <c r="B15" s="11" t="s">
        <v>66</v>
      </c>
    </row>
    <row r="16" spans="1:56" ht="16.5" thickTop="1">
      <c r="E16" s="43" t="s">
        <v>264</v>
      </c>
      <c r="G16" s="43" t="str">
        <f t="shared" ref="G16:G17" si="2">price_label</f>
        <v>£m 23/24 prices</v>
      </c>
      <c r="AU16" s="174">
        <f>NGT_SO!AU134</f>
        <v>40.149137847810941</v>
      </c>
      <c r="AV16" s="50">
        <f>NGT_SO!AV134</f>
        <v>43.414385662892577</v>
      </c>
      <c r="AW16" s="50">
        <f>NGT_SO!AW134</f>
        <v>29.974076298077016</v>
      </c>
      <c r="AX16" s="50">
        <f>NGT_SO!AX134</f>
        <v>32.00605888376915</v>
      </c>
      <c r="AY16" s="50">
        <f>NGT_SO!AY134</f>
        <v>27.498601518036935</v>
      </c>
      <c r="BA16" s="44" t="str">
        <f ca="1">$A$1</f>
        <v>Transform_SO</v>
      </c>
      <c r="BB16" s="44" t="str">
        <f>$A$14</f>
        <v>Totex allowance</v>
      </c>
      <c r="BC16" s="44" t="str">
        <f>$B$15</f>
        <v>Non-variant allowances</v>
      </c>
    </row>
    <row r="17" spans="1:56">
      <c r="E17" s="43" t="s">
        <v>278</v>
      </c>
      <c r="G17" s="43" t="str">
        <f t="shared" si="2"/>
        <v>£m 23/24 prices</v>
      </c>
      <c r="AU17" s="174">
        <f>NGT_SO!AU135</f>
        <v>71.749390288379658</v>
      </c>
      <c r="AV17" s="50">
        <f>NGT_SO!AV135</f>
        <v>72.194039207266258</v>
      </c>
      <c r="AW17" s="50">
        <f>NGT_SO!AW135</f>
        <v>72.412134865315409</v>
      </c>
      <c r="AX17" s="50">
        <f>NGT_SO!AX135</f>
        <v>71.192254472383922</v>
      </c>
      <c r="AY17" s="50">
        <f>NGT_SO!AY135</f>
        <v>70.519992226866549</v>
      </c>
      <c r="BA17" s="44" t="str">
        <f ca="1">$A$1</f>
        <v>Transform_SO</v>
      </c>
      <c r="BB17" s="44" t="str">
        <f>$A$14</f>
        <v>Totex allowance</v>
      </c>
      <c r="BC17" s="44" t="str">
        <f>$B$15</f>
        <v>Non-variant allowances</v>
      </c>
    </row>
    <row r="18" spans="1:56"/>
    <row r="19" spans="1:56" s="9" customFormat="1" ht="17.5" thickBot="1">
      <c r="A19" s="11" t="s">
        <v>100</v>
      </c>
      <c r="B19" s="8"/>
      <c r="C19"/>
      <c r="D19"/>
      <c r="E19" s="43"/>
      <c r="F19" s="150"/>
      <c r="G19" s="43"/>
      <c r="H19" s="150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76"/>
      <c r="AU19" s="43"/>
      <c r="AV19" s="43"/>
      <c r="AW19" s="43"/>
      <c r="AX19" s="43"/>
      <c r="AY19" s="43"/>
      <c r="AZ19" s="44"/>
      <c r="BA19" s="44"/>
      <c r="BB19" s="44"/>
      <c r="BC19" s="44"/>
      <c r="BD19" s="44"/>
    </row>
    <row r="20" spans="1:56" s="9" customFormat="1" ht="16.5" thickTop="1">
      <c r="A20" s="8"/>
      <c r="B20" s="8"/>
      <c r="C20"/>
      <c r="D20"/>
      <c r="E20" s="43" t="s">
        <v>282</v>
      </c>
      <c r="F20" s="150"/>
      <c r="G20" s="43" t="s">
        <v>33</v>
      </c>
      <c r="H20" s="150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43"/>
      <c r="AN20" s="43"/>
      <c r="AO20" s="43"/>
      <c r="AP20" s="43"/>
      <c r="AQ20" s="43"/>
      <c r="AR20" s="43"/>
      <c r="AS20" s="43"/>
      <c r="AT20" s="76"/>
      <c r="AU20" s="175">
        <f>NGT_SO!AU174</f>
        <v>0.39</v>
      </c>
      <c r="AV20" s="56">
        <f>NGT_SO!AV174</f>
        <v>0.39</v>
      </c>
      <c r="AW20" s="56">
        <f>NGT_SO!AW174</f>
        <v>0.39</v>
      </c>
      <c r="AX20" s="56">
        <f>NGT_SO!AX174</f>
        <v>0.39</v>
      </c>
      <c r="AY20" s="56">
        <f>NGT_SO!AY174</f>
        <v>0.39</v>
      </c>
      <c r="AZ20" s="44"/>
      <c r="BA20" s="44" t="str">
        <f ca="1">$A$1</f>
        <v>Transform_SO</v>
      </c>
      <c r="BB20" s="44" t="str">
        <f>$A$19</f>
        <v>TIM and capitalisation</v>
      </c>
    </row>
    <row r="21" spans="1:56" s="9" customFormat="1">
      <c r="A21" s="8"/>
      <c r="B21" s="8"/>
      <c r="C21"/>
      <c r="D21"/>
      <c r="E21" s="43" t="s">
        <v>314</v>
      </c>
      <c r="F21" s="150"/>
      <c r="G21" s="43" t="s">
        <v>33</v>
      </c>
      <c r="H21" s="150"/>
      <c r="I21" s="56">
        <f>NGT_SO!I173</f>
        <v>0.39</v>
      </c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  <c r="AI21" s="43"/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76"/>
      <c r="AU21" s="177"/>
      <c r="AV21"/>
      <c r="AW21"/>
      <c r="AX21"/>
      <c r="AY21"/>
      <c r="AZ21" s="44"/>
      <c r="BA21" s="44" t="str">
        <f ca="1">$A$1</f>
        <v>Transform_SO</v>
      </c>
      <c r="BB21" s="44" t="str">
        <f>$A$19</f>
        <v>TIM and capitalisation</v>
      </c>
    </row>
    <row r="22" spans="1:56" s="9" customFormat="1">
      <c r="A22" s="8"/>
      <c r="B22" s="8"/>
      <c r="C22"/>
      <c r="D22"/>
      <c r="E22" s="43" t="s">
        <v>399</v>
      </c>
      <c r="F22" s="150"/>
      <c r="G22" s="43" t="s">
        <v>33</v>
      </c>
      <c r="H22" s="150"/>
      <c r="I22" s="55">
        <f>1-I21</f>
        <v>0.61</v>
      </c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43"/>
      <c r="AN22" s="43"/>
      <c r="AO22" s="43"/>
      <c r="AP22" s="43"/>
      <c r="AQ22" s="43"/>
      <c r="AR22" s="43"/>
      <c r="AS22" s="43"/>
      <c r="AT22" s="76"/>
      <c r="AU22" s="43"/>
      <c r="AV22" s="43"/>
      <c r="AW22" s="43"/>
      <c r="AX22" s="43"/>
      <c r="AY22" s="43"/>
      <c r="AZ22" s="44"/>
      <c r="BA22" s="44" t="str">
        <f ca="1">$A$1</f>
        <v>Transform_SO</v>
      </c>
      <c r="BB22" s="44" t="str">
        <f t="shared" ref="BB22" si="3">$A$19</f>
        <v>TIM and capitalisation</v>
      </c>
    </row>
    <row r="23" spans="1:56" s="9" customFormat="1">
      <c r="A23" s="8"/>
      <c r="B23" s="8"/>
      <c r="C23"/>
      <c r="D23"/>
      <c r="E23" s="43"/>
      <c r="F23" s="150"/>
      <c r="G23" s="43"/>
      <c r="H23" s="150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  <c r="AK23" s="43"/>
      <c r="AL23" s="43"/>
      <c r="AM23" s="43"/>
      <c r="AN23" s="43"/>
      <c r="AO23" s="43"/>
      <c r="AP23" s="43"/>
      <c r="AQ23" s="43"/>
      <c r="AR23" s="43"/>
      <c r="AS23" s="43"/>
      <c r="AT23" s="76"/>
      <c r="AU23" s="43"/>
      <c r="AV23" s="43"/>
      <c r="AW23" s="43"/>
      <c r="AX23" s="43"/>
      <c r="AY23" s="43"/>
      <c r="AZ23" s="44"/>
      <c r="BA23" s="44"/>
      <c r="BB23" s="44"/>
    </row>
    <row r="24" spans="1:56" s="9" customFormat="1" ht="20" thickBot="1">
      <c r="A24" s="10" t="s">
        <v>72</v>
      </c>
      <c r="B24" s="8"/>
      <c r="C24"/>
      <c r="D24"/>
      <c r="E24" s="43"/>
      <c r="F24" s="150"/>
      <c r="G24" s="43"/>
      <c r="H24" s="150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  <c r="AJ24" s="43"/>
      <c r="AK24" s="43"/>
      <c r="AL24" s="43"/>
      <c r="AM24" s="43"/>
      <c r="AN24" s="43"/>
      <c r="AO24" s="43"/>
      <c r="AP24" s="43"/>
      <c r="AQ24" s="43"/>
      <c r="AR24" s="43"/>
      <c r="AS24" s="43"/>
      <c r="AT24" s="76"/>
      <c r="AU24" s="43"/>
      <c r="AV24" s="43"/>
      <c r="AW24" s="43"/>
      <c r="AX24" s="43"/>
      <c r="AY24" s="43"/>
      <c r="AZ24" s="44"/>
      <c r="BA24" s="44"/>
      <c r="BB24" s="44"/>
    </row>
    <row r="25" spans="1:56" ht="16.5" thickTop="1">
      <c r="E25" s="43" t="s">
        <v>80</v>
      </c>
      <c r="G25" s="43" t="s">
        <v>75</v>
      </c>
      <c r="I25" s="49">
        <f>NGT_SO!I142</f>
        <v>7</v>
      </c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 s="77"/>
      <c r="AU25"/>
      <c r="AV25"/>
      <c r="AW25"/>
      <c r="AX25"/>
      <c r="AY25"/>
      <c r="BA25" s="44" t="str">
        <f ca="1">$A$1</f>
        <v>Transform_SO</v>
      </c>
      <c r="BB25" s="44" t="str">
        <f>$A$24</f>
        <v>RAV and assets</v>
      </c>
    </row>
    <row r="26" spans="1:56">
      <c r="E26" s="43" t="s">
        <v>78</v>
      </c>
      <c r="G26" s="43" t="str">
        <f>price_label</f>
        <v>£m 23/24 prices</v>
      </c>
      <c r="I26"/>
      <c r="J26" s="43" t="s">
        <v>10</v>
      </c>
      <c r="X26" s="50">
        <f>NGT_SO!X143</f>
        <v>0</v>
      </c>
      <c r="Y26" s="50">
        <f>NGT_SO!Y143</f>
        <v>0</v>
      </c>
      <c r="Z26" s="50">
        <f>NGT_SO!Z143</f>
        <v>0</v>
      </c>
      <c r="AA26" s="50">
        <f>NGT_SO!AA143</f>
        <v>0</v>
      </c>
      <c r="AB26" s="50">
        <f>NGT_SO!AB143</f>
        <v>17.958820591449118</v>
      </c>
      <c r="AC26" s="50">
        <f>NGT_SO!AC143</f>
        <v>12.438928625409169</v>
      </c>
      <c r="AD26" s="50">
        <f>NGT_SO!AD143</f>
        <v>16.561981266218712</v>
      </c>
      <c r="AE26" s="50">
        <f>NGT_SO!AE143</f>
        <v>15.051324035092895</v>
      </c>
      <c r="AF26" s="50">
        <f>NGT_SO!AF143</f>
        <v>18.924538002288429</v>
      </c>
      <c r="AG26" s="50">
        <f>NGT_SO!AG143</f>
        <v>39.772014689532305</v>
      </c>
      <c r="AH26"/>
      <c r="AI26"/>
      <c r="AJ26"/>
      <c r="AK26"/>
      <c r="AL26"/>
      <c r="AM26"/>
      <c r="AN26"/>
      <c r="AO26"/>
      <c r="AP26"/>
      <c r="AQ26"/>
      <c r="AR26"/>
      <c r="AS26"/>
      <c r="AT26" s="77"/>
      <c r="AU26"/>
      <c r="AV26"/>
      <c r="AW26"/>
      <c r="AX26"/>
      <c r="AY26"/>
      <c r="BA26" s="44" t="str">
        <f ca="1">$A$1</f>
        <v>Transform_SO</v>
      </c>
      <c r="BB26" s="44" t="str">
        <f>$A$24</f>
        <v>RAV and assets</v>
      </c>
    </row>
    <row r="27" spans="1:56" customFormat="1" ht="16.5">
      <c r="E27" s="43" t="s">
        <v>805</v>
      </c>
      <c r="F27" s="151" t="str">
        <f>NGT_SO!F144</f>
        <v>SpC 7.8</v>
      </c>
      <c r="G27" s="43" t="str">
        <f>price_label</f>
        <v>£m 23/24 prices</v>
      </c>
      <c r="H27" s="48" t="s">
        <v>933</v>
      </c>
      <c r="J27" s="43" t="s">
        <v>10</v>
      </c>
      <c r="AH27" s="38">
        <f>NGT_SO!AH144</f>
        <v>41.862841559768228</v>
      </c>
      <c r="AI27" s="38">
        <f>NGT_SO!AI144</f>
        <v>46.451430458247806</v>
      </c>
      <c r="AJ27" s="38">
        <f>NGT_SO!AJ144</f>
        <v>49.593851658994922</v>
      </c>
      <c r="AK27" s="38">
        <f>NGT_SO!AK144</f>
        <v>47.150605524085442</v>
      </c>
      <c r="AL27" s="38">
        <f>NGT_SO!AL144</f>
        <v>43.503914548072935</v>
      </c>
      <c r="AM27" s="38">
        <f>NGT_SO!AM144</f>
        <v>46.791922766939734</v>
      </c>
      <c r="AN27" s="38">
        <f>NGT_SO!AN144</f>
        <v>48.263160058761315</v>
      </c>
      <c r="AO27" s="38">
        <f>NGT_SO!AO144</f>
        <v>45.386552517745301</v>
      </c>
      <c r="AP27" s="38">
        <f>NGT_SO!AP144</f>
        <v>33.556538549888074</v>
      </c>
      <c r="AQ27" s="38">
        <f>NGT_SO!AQ144</f>
        <v>32.089398102404324</v>
      </c>
      <c r="AR27" s="38">
        <f>NGT_SO!AR144</f>
        <v>38.057570922873104</v>
      </c>
      <c r="AS27" s="38">
        <f>NGT_SO!AS144</f>
        <v>39.847141595382205</v>
      </c>
      <c r="AT27" s="94">
        <f>NGT_SO!AT144</f>
        <v>44.91818041237466</v>
      </c>
      <c r="BA27" s="44" t="str">
        <f ca="1">$A$1</f>
        <v>Transform_SO</v>
      </c>
      <c r="BB27" s="44" t="str">
        <f>$A$24</f>
        <v>RAV and assets</v>
      </c>
    </row>
    <row r="28" spans="1:56" customFormat="1" ht="14.5">
      <c r="F28" s="151"/>
      <c r="H28" s="151"/>
      <c r="AT28" s="77"/>
      <c r="BA28" s="44"/>
      <c r="BB28" s="1"/>
    </row>
    <row r="29" spans="1:56" customFormat="1" ht="14.5">
      <c r="E29" t="s">
        <v>1149</v>
      </c>
      <c r="F29" s="151"/>
      <c r="G29" t="str">
        <f>price_label</f>
        <v>£m 23/24 prices</v>
      </c>
      <c r="H29" s="151"/>
      <c r="J29" s="43" t="s">
        <v>10</v>
      </c>
      <c r="AH29" s="38">
        <f>NGT_SO!AH146</f>
        <v>111.28894097832986</v>
      </c>
      <c r="AI29" s="38">
        <f>NGT_SO!AI146</f>
        <v>134.51602161232643</v>
      </c>
      <c r="AJ29" s="38">
        <f>NGT_SO!AJ146</f>
        <v>156.815150608956</v>
      </c>
      <c r="AK29" s="38">
        <f>NGT_SO!AK146</f>
        <v>171.36318732302098</v>
      </c>
      <c r="AL29" s="38">
        <f>NGT_SO!AL146</f>
        <v>177.89472959566393</v>
      </c>
      <c r="AM29" s="38">
        <f>NGT_SO!AM146</f>
        <v>183.64962429960508</v>
      </c>
      <c r="AN29" s="38">
        <f>NGT_SO!AN146</f>
        <v>186.89470132898907</v>
      </c>
      <c r="AO29" s="38">
        <f>NGT_SO!AO146</f>
        <v>186.05015005032433</v>
      </c>
      <c r="AP29" s="38">
        <f>NGT_SO!AP146</f>
        <v>172.87219752409135</v>
      </c>
      <c r="AQ29" s="38">
        <f>NGT_SO!AQ146</f>
        <v>160.06923196585456</v>
      </c>
      <c r="AR29" s="38">
        <f>NGT_SO!AR146</f>
        <v>155.73507545045663</v>
      </c>
      <c r="AS29" s="38">
        <f>NGT_SO!AS146</f>
        <v>154.48949455059815</v>
      </c>
      <c r="AT29" s="94">
        <f>NGT_SO!AT146</f>
        <v>158.8373486038308</v>
      </c>
      <c r="BA29" s="44" t="str">
        <f ca="1">$A$1</f>
        <v>Transform_SO</v>
      </c>
      <c r="BB29" s="44" t="str">
        <f>$A$24</f>
        <v>RAV and assets</v>
      </c>
    </row>
    <row r="30" spans="1:56">
      <c r="BA30" s="44"/>
    </row>
    <row r="31" spans="1:56" ht="20" thickBot="1">
      <c r="A31" s="10" t="s">
        <v>12</v>
      </c>
      <c r="BA31" s="44"/>
    </row>
    <row r="32" spans="1:56" s="9" customFormat="1" ht="17" thickTop="1">
      <c r="A32" s="8"/>
      <c r="B32" s="8"/>
      <c r="C32"/>
      <c r="D32"/>
      <c r="E32" s="43" t="s">
        <v>281</v>
      </c>
      <c r="F32" s="150" t="str">
        <f>NGT_SO!F12</f>
        <v>SpC 6.3</v>
      </c>
      <c r="G32" s="43" t="str">
        <f t="shared" ref="G32:G35" si="4">price_label</f>
        <v>£m 23/24 prices</v>
      </c>
      <c r="H32" s="48" t="s">
        <v>1116</v>
      </c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  <c r="AN32" s="43"/>
      <c r="AO32" s="43"/>
      <c r="AP32" s="43"/>
      <c r="AQ32" s="43"/>
      <c r="AR32" s="43"/>
      <c r="AS32" s="43"/>
      <c r="AT32" s="76"/>
      <c r="AU32" s="174">
        <f>NGT_SO!AU12</f>
        <v>-3.3626211613905972</v>
      </c>
      <c r="AV32" s="50">
        <f>NGT_SO!AV12</f>
        <v>0</v>
      </c>
      <c r="AW32" s="50">
        <f>NGT_SO!AW12</f>
        <v>0</v>
      </c>
      <c r="AX32" s="50">
        <f>NGT_SO!AX12</f>
        <v>0</v>
      </c>
      <c r="AY32" s="50">
        <f>NGT_SO!AY12</f>
        <v>0</v>
      </c>
      <c r="AZ32" s="44"/>
      <c r="BA32" s="44" t="str">
        <f ca="1">$A$1</f>
        <v>Transform_SO</v>
      </c>
      <c r="BB32" s="44" t="str">
        <f t="shared" ref="BB32:BB35" si="5">$A$31</f>
        <v>Pass-through costs</v>
      </c>
    </row>
    <row r="33" spans="1:54" s="9" customFormat="1" ht="16.5">
      <c r="A33" s="8"/>
      <c r="B33" s="8"/>
      <c r="C33"/>
      <c r="D33"/>
      <c r="E33" s="43" t="s">
        <v>795</v>
      </c>
      <c r="F33" s="150" t="str">
        <f>NGT_SO!F13</f>
        <v>SpC 6.3</v>
      </c>
      <c r="G33" s="43" t="str">
        <f t="shared" si="4"/>
        <v>£m 23/24 prices</v>
      </c>
      <c r="H33" s="48" t="s">
        <v>1117</v>
      </c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43"/>
      <c r="AT33" s="76"/>
      <c r="AU33" s="174">
        <f>NGT_SO!AU13/PCf</f>
        <v>3.9761235990267063</v>
      </c>
      <c r="AV33" s="50">
        <f>NGT_SO!AV13/PCf</f>
        <v>4.396273641792301</v>
      </c>
      <c r="AW33" s="50">
        <f>NGT_SO!AW13/PCf</f>
        <v>4.2844482919168181</v>
      </c>
      <c r="AX33" s="50">
        <f>NGT_SO!AX13/PCf</f>
        <v>2.394556054857726</v>
      </c>
      <c r="AY33" s="50">
        <f>NGT_SO!AY13/PCf</f>
        <v>2.4235298337275508</v>
      </c>
      <c r="AZ33" s="44"/>
      <c r="BA33" s="44" t="str">
        <f ca="1">$A$1</f>
        <v>Transform_SO</v>
      </c>
      <c r="BB33" s="44" t="str">
        <f>$A$31</f>
        <v>Pass-through costs</v>
      </c>
    </row>
    <row r="34" spans="1:54" s="9" customFormat="1" ht="16.5">
      <c r="A34" s="8"/>
      <c r="B34" s="8"/>
      <c r="C34"/>
      <c r="D34"/>
      <c r="E34" s="43" t="s">
        <v>796</v>
      </c>
      <c r="F34" s="150" t="str">
        <f>NGT_SO!F14</f>
        <v>SpC 6.4</v>
      </c>
      <c r="G34" s="43" t="str">
        <f t="shared" si="4"/>
        <v>£m 23/24 prices</v>
      </c>
      <c r="H34" s="48" t="s">
        <v>1118</v>
      </c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3"/>
      <c r="AS34" s="43"/>
      <c r="AT34" s="76"/>
      <c r="AU34" s="174">
        <f>NGT_SO!AU14/PCf</f>
        <v>44.286742162242163</v>
      </c>
      <c r="AV34" s="50">
        <f>NGT_SO!AV14/PCf</f>
        <v>32.708299498160876</v>
      </c>
      <c r="AW34" s="50">
        <f>NGT_SO!AW14/PCf</f>
        <v>33.309880113281494</v>
      </c>
      <c r="AX34" s="50">
        <f>NGT_SO!AX14/PCf</f>
        <v>33.927451709944343</v>
      </c>
      <c r="AY34" s="50">
        <f>NGT_SO!AY14/PCf</f>
        <v>34.548101171648298</v>
      </c>
      <c r="AZ34" s="44"/>
      <c r="BA34" s="44" t="str">
        <f ca="1">$A$1</f>
        <v>Transform_SO</v>
      </c>
      <c r="BB34" s="44" t="str">
        <f t="shared" si="5"/>
        <v>Pass-through costs</v>
      </c>
    </row>
    <row r="35" spans="1:54" s="9" customFormat="1" ht="16.5">
      <c r="A35" s="8"/>
      <c r="B35" s="8"/>
      <c r="C35"/>
      <c r="D35"/>
      <c r="E35" s="43" t="s">
        <v>113</v>
      </c>
      <c r="F35" s="150"/>
      <c r="G35" s="43" t="str">
        <f t="shared" si="4"/>
        <v>£m 23/24 prices</v>
      </c>
      <c r="H35" s="248" t="s">
        <v>1121</v>
      </c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  <c r="AF35" s="43"/>
      <c r="AG35" s="43"/>
      <c r="AH35" s="43"/>
      <c r="AI35" s="43"/>
      <c r="AJ35" s="43"/>
      <c r="AK35" s="43"/>
      <c r="AL35" s="43"/>
      <c r="AM35" s="43"/>
      <c r="AN35" s="43"/>
      <c r="AO35" s="43"/>
      <c r="AP35" s="43"/>
      <c r="AQ35" s="43"/>
      <c r="AR35" s="43"/>
      <c r="AS35" s="43"/>
      <c r="AT35" s="76"/>
      <c r="AU35" s="176">
        <f>SUM(AU32:AU34)</f>
        <v>44.90024459987827</v>
      </c>
      <c r="AV35" s="53">
        <f t="shared" ref="AV35:AY35" si="6">SUM(AV32:AV34)</f>
        <v>37.104573139953175</v>
      </c>
      <c r="AW35" s="53">
        <f t="shared" si="6"/>
        <v>37.594328405198311</v>
      </c>
      <c r="AX35" s="53">
        <f t="shared" si="6"/>
        <v>36.322007764802066</v>
      </c>
      <c r="AY35" s="53">
        <f t="shared" si="6"/>
        <v>36.971631005375848</v>
      </c>
      <c r="AZ35" s="44"/>
      <c r="BA35" s="44" t="str">
        <f ca="1">$A$1</f>
        <v>Transform_SO</v>
      </c>
      <c r="BB35" s="44" t="str">
        <f t="shared" si="5"/>
        <v>Pass-through costs</v>
      </c>
    </row>
    <row r="36" spans="1:54" s="9" customFormat="1">
      <c r="A36" s="8"/>
      <c r="B36" s="8"/>
      <c r="C36"/>
      <c r="D36"/>
      <c r="E36" s="43"/>
      <c r="F36" s="150"/>
      <c r="G36" s="43"/>
      <c r="H36" s="150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3"/>
      <c r="AS36" s="43"/>
      <c r="AT36" s="76"/>
      <c r="AU36" s="43"/>
      <c r="AV36" s="43"/>
      <c r="AW36" s="43"/>
      <c r="AX36" s="43"/>
      <c r="AY36" s="43"/>
      <c r="AZ36" s="44"/>
      <c r="BA36" s="44"/>
      <c r="BB36" s="44"/>
    </row>
    <row r="37" spans="1:54" s="9" customFormat="1" ht="20" thickBot="1">
      <c r="A37" s="10" t="s">
        <v>17</v>
      </c>
      <c r="B37" s="8"/>
      <c r="C37"/>
      <c r="D37"/>
      <c r="E37" s="43"/>
      <c r="F37" s="150"/>
      <c r="G37" s="43"/>
      <c r="H37" s="150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  <c r="AG37" s="43"/>
      <c r="AH37" s="43"/>
      <c r="AI37" s="43"/>
      <c r="AJ37" s="43"/>
      <c r="AK37" s="43"/>
      <c r="AL37" s="43"/>
      <c r="AM37" s="43"/>
      <c r="AN37" s="43"/>
      <c r="AO37" s="43"/>
      <c r="AP37" s="43"/>
      <c r="AQ37" s="43"/>
      <c r="AR37" s="43"/>
      <c r="AS37" s="43"/>
      <c r="AT37" s="76"/>
      <c r="AU37" s="43"/>
      <c r="AV37" s="43"/>
      <c r="AW37" s="43"/>
      <c r="AX37" s="43"/>
      <c r="AY37" s="43"/>
      <c r="AZ37" s="44"/>
      <c r="BA37" s="44"/>
      <c r="BB37" s="44"/>
    </row>
    <row r="38" spans="1:54" s="9" customFormat="1" ht="17" thickTop="1">
      <c r="A38" s="8"/>
      <c r="B38" s="8"/>
      <c r="C38"/>
      <c r="D38"/>
      <c r="E38" s="43" t="s">
        <v>284</v>
      </c>
      <c r="F38" s="150" t="str">
        <f>NGT_SO!F17</f>
        <v>SpC 5.5</v>
      </c>
      <c r="G38" s="43" t="str">
        <f t="shared" ref="G38:G41" si="7">price_label</f>
        <v>£m 23/24 prices</v>
      </c>
      <c r="H38" s="48" t="s">
        <v>1059</v>
      </c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  <c r="AF38" s="43"/>
      <c r="AG38" s="43"/>
      <c r="AH38" s="43"/>
      <c r="AI38" s="43"/>
      <c r="AJ38" s="43"/>
      <c r="AK38" s="43"/>
      <c r="AL38" s="43"/>
      <c r="AM38" s="43"/>
      <c r="AN38" s="43"/>
      <c r="AO38" s="43"/>
      <c r="AP38" s="43"/>
      <c r="AQ38" s="43"/>
      <c r="AR38" s="43"/>
      <c r="AS38" s="43"/>
      <c r="AT38" s="76"/>
      <c r="AU38" s="174">
        <f>NGT_SO!AU17/PCf</f>
        <v>0</v>
      </c>
      <c r="AV38" s="50">
        <f>NGT_SO!AV17/PCf</f>
        <v>0</v>
      </c>
      <c r="AW38" s="50">
        <f>NGT_SO!AW17/PCf</f>
        <v>0</v>
      </c>
      <c r="AX38" s="50">
        <f>NGT_SO!AX17/PCf</f>
        <v>0</v>
      </c>
      <c r="AY38" s="50">
        <f>NGT_SO!AY17/PCf</f>
        <v>0</v>
      </c>
      <c r="AZ38" s="44"/>
      <c r="BA38" s="44" t="str">
        <f ca="1">$A$1</f>
        <v>Transform_SO</v>
      </c>
      <c r="BB38" s="44" t="str">
        <f t="shared" ref="BB38:BB41" si="8">$A$37</f>
        <v>Other revenue allowances</v>
      </c>
    </row>
    <row r="39" spans="1:54" s="9" customFormat="1" ht="16.5">
      <c r="A39" s="8"/>
      <c r="B39" s="8"/>
      <c r="C39"/>
      <c r="D39"/>
      <c r="E39" s="43" t="s">
        <v>285</v>
      </c>
      <c r="F39" s="150" t="str">
        <f>NGT_SO!F18</f>
        <v>SpC 5.5</v>
      </c>
      <c r="G39" s="43" t="str">
        <f t="shared" si="7"/>
        <v>£m 23/24 prices</v>
      </c>
      <c r="H39" s="48" t="s">
        <v>1060</v>
      </c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/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76"/>
      <c r="AU39" s="174">
        <f>NGT_SO!AU18/PCf</f>
        <v>0</v>
      </c>
      <c r="AV39" s="50">
        <f>NGT_SO!AV18/PCf</f>
        <v>0</v>
      </c>
      <c r="AW39" s="50">
        <f>NGT_SO!AW18/PCf</f>
        <v>0</v>
      </c>
      <c r="AX39" s="50">
        <f>NGT_SO!AX18/PCf</f>
        <v>0</v>
      </c>
      <c r="AY39" s="50">
        <f>NGT_SO!AY18/PCf</f>
        <v>0</v>
      </c>
      <c r="AZ39" s="44"/>
      <c r="BA39" s="44" t="str">
        <f ca="1">$A$1</f>
        <v>Transform_SO</v>
      </c>
      <c r="BB39" s="44" t="str">
        <f t="shared" si="8"/>
        <v>Other revenue allowances</v>
      </c>
    </row>
    <row r="40" spans="1:54" s="9" customFormat="1" ht="16.5">
      <c r="A40" s="8"/>
      <c r="B40" s="8"/>
      <c r="C40"/>
      <c r="D40"/>
      <c r="E40" s="43" t="s">
        <v>372</v>
      </c>
      <c r="F40" s="150" t="str">
        <f>NGT_SO!F19</f>
        <v>SpC 5.5</v>
      </c>
      <c r="G40" s="43" t="str">
        <f t="shared" si="7"/>
        <v>£m 23/24 prices</v>
      </c>
      <c r="H40" s="48" t="s">
        <v>1061</v>
      </c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  <c r="AG40" s="43"/>
      <c r="AH40" s="43"/>
      <c r="AI40" s="43"/>
      <c r="AJ40" s="43"/>
      <c r="AK40" s="43"/>
      <c r="AL40" s="43"/>
      <c r="AM40" s="43"/>
      <c r="AN40" s="43"/>
      <c r="AO40" s="43"/>
      <c r="AP40" s="43"/>
      <c r="AQ40" s="43"/>
      <c r="AR40" s="43"/>
      <c r="AS40" s="43"/>
      <c r="AT40" s="76"/>
      <c r="AU40" s="174">
        <f>NGT_SO!AU19/PCf</f>
        <v>0</v>
      </c>
      <c r="AV40" s="50">
        <f>NGT_SO!AV19/PCf</f>
        <v>0</v>
      </c>
      <c r="AW40" s="50">
        <f>NGT_SO!AW19/PCf</f>
        <v>0</v>
      </c>
      <c r="AX40" s="50">
        <f>NGT_SO!AX19/PCf</f>
        <v>0</v>
      </c>
      <c r="AY40" s="50">
        <f>NGT_SO!AY19/PCf</f>
        <v>0</v>
      </c>
      <c r="AZ40" s="44"/>
      <c r="BA40" s="44" t="str">
        <f ca="1">$A$1</f>
        <v>Transform_SO</v>
      </c>
      <c r="BB40" s="44" t="str">
        <f t="shared" si="8"/>
        <v>Other revenue allowances</v>
      </c>
    </row>
    <row r="41" spans="1:54" s="9" customFormat="1" ht="16.5">
      <c r="A41" s="8"/>
      <c r="B41" s="8"/>
      <c r="C41"/>
      <c r="D41"/>
      <c r="E41" s="43" t="s">
        <v>290</v>
      </c>
      <c r="F41" s="150"/>
      <c r="G41" s="43" t="str">
        <f t="shared" si="7"/>
        <v>£m 23/24 prices</v>
      </c>
      <c r="H41" s="248" t="s">
        <v>1122</v>
      </c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3"/>
      <c r="AH41" s="43"/>
      <c r="AI41" s="43"/>
      <c r="AJ41" s="43"/>
      <c r="AK41" s="43"/>
      <c r="AL41" s="43"/>
      <c r="AM41" s="43"/>
      <c r="AN41" s="43"/>
      <c r="AO41" s="43"/>
      <c r="AP41" s="43"/>
      <c r="AQ41" s="43"/>
      <c r="AR41" s="43"/>
      <c r="AS41" s="43"/>
      <c r="AT41" s="76"/>
      <c r="AU41" s="176">
        <f>SUM(AU38:AU40)</f>
        <v>0</v>
      </c>
      <c r="AV41" s="53">
        <f t="shared" ref="AV41:AY41" si="9">SUM(AV38:AV40)</f>
        <v>0</v>
      </c>
      <c r="AW41" s="53">
        <f t="shared" si="9"/>
        <v>0</v>
      </c>
      <c r="AX41" s="53">
        <f t="shared" si="9"/>
        <v>0</v>
      </c>
      <c r="AY41" s="53">
        <f t="shared" si="9"/>
        <v>0</v>
      </c>
      <c r="AZ41" s="44"/>
      <c r="BA41" s="44" t="str">
        <f ca="1">$A$1</f>
        <v>Transform_SO</v>
      </c>
      <c r="BB41" s="44" t="str">
        <f t="shared" si="8"/>
        <v>Other revenue allowances</v>
      </c>
    </row>
    <row r="42" spans="1:54" s="9" customFormat="1">
      <c r="A42" s="8"/>
      <c r="B42" s="8"/>
      <c r="C42"/>
      <c r="D42"/>
      <c r="E42" s="43"/>
      <c r="F42" s="150"/>
      <c r="G42" s="43"/>
      <c r="H42" s="248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3"/>
      <c r="AH42" s="43"/>
      <c r="AI42" s="43"/>
      <c r="AJ42" s="43"/>
      <c r="AK42" s="43"/>
      <c r="AL42" s="43"/>
      <c r="AM42" s="43"/>
      <c r="AN42" s="43"/>
      <c r="AO42" s="43"/>
      <c r="AP42" s="43"/>
      <c r="AQ42" s="43"/>
      <c r="AR42" s="43"/>
      <c r="AS42" s="43"/>
      <c r="AT42" s="76"/>
      <c r="AU42"/>
      <c r="AV42"/>
      <c r="AW42"/>
      <c r="AX42"/>
      <c r="AY42"/>
      <c r="AZ42" s="44"/>
      <c r="BA42" s="44"/>
      <c r="BB42" s="44"/>
    </row>
    <row r="43" spans="1:54" s="9" customFormat="1" ht="16.5">
      <c r="A43" s="8"/>
      <c r="B43" s="8"/>
      <c r="C43"/>
      <c r="E43" s="43" t="s">
        <v>1057</v>
      </c>
      <c r="F43" s="150" t="str">
        <f>NGT_SO!F21</f>
        <v>SpC 5.6</v>
      </c>
      <c r="G43" s="43" t="str">
        <f t="shared" ref="G43:G62" si="10">price_label</f>
        <v>£m 23/24 prices</v>
      </c>
      <c r="H43" s="48" t="s">
        <v>1062</v>
      </c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3"/>
      <c r="AS43" s="43"/>
      <c r="AT43" s="76"/>
      <c r="AU43" s="174">
        <f>NGT_SO!AU21/PCf</f>
        <v>0</v>
      </c>
      <c r="AV43" s="50">
        <f>NGT_SO!AV21/PCf</f>
        <v>0</v>
      </c>
      <c r="AW43" s="50">
        <f>NGT_SO!AW21/PCf</f>
        <v>0</v>
      </c>
      <c r="AX43" s="50">
        <f>NGT_SO!AX21/PCf</f>
        <v>0</v>
      </c>
      <c r="AY43" s="50">
        <f>NGT_SO!AY21/PCf</f>
        <v>0</v>
      </c>
      <c r="AZ43" s="44"/>
      <c r="BA43" s="44" t="str">
        <f t="shared" ref="BA43:BA54" ca="1" si="11">$A$1</f>
        <v>Transform_SO</v>
      </c>
      <c r="BB43" s="44" t="str">
        <f t="shared" ref="BB43:BB62" si="12">$A$37</f>
        <v>Other revenue allowances</v>
      </c>
    </row>
    <row r="44" spans="1:54" s="9" customFormat="1" ht="16.5">
      <c r="E44" s="43" t="s">
        <v>1058</v>
      </c>
      <c r="F44" s="150" t="str">
        <f>NGT_SO!F22</f>
        <v>SpC 5.6</v>
      </c>
      <c r="G44" s="43" t="str">
        <f t="shared" si="10"/>
        <v>£m 23/24 prices</v>
      </c>
      <c r="H44" s="48" t="s">
        <v>1063</v>
      </c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  <c r="AF44" s="43"/>
      <c r="AG44" s="43"/>
      <c r="AH44" s="43"/>
      <c r="AI44" s="43"/>
      <c r="AJ44" s="43"/>
      <c r="AK44" s="43"/>
      <c r="AL44" s="43"/>
      <c r="AM44" s="43"/>
      <c r="AN44" s="43"/>
      <c r="AO44" s="43"/>
      <c r="AP44" s="43"/>
      <c r="AQ44" s="43"/>
      <c r="AR44" s="43"/>
      <c r="AS44" s="43"/>
      <c r="AT44" s="76"/>
      <c r="AU44" s="174">
        <f>NGT_SO!AU22/PCf</f>
        <v>25.17287202195438</v>
      </c>
      <c r="AV44" s="50">
        <f>NGT_SO!AV22/PCf</f>
        <v>25.17287202195438</v>
      </c>
      <c r="AW44" s="50">
        <f>NGT_SO!AW22/PCf</f>
        <v>25.17287202195438</v>
      </c>
      <c r="AX44" s="50">
        <f>NGT_SO!AX22/PCf</f>
        <v>25.172872021954383</v>
      </c>
      <c r="AY44" s="50">
        <f>NGT_SO!AY22/PCf</f>
        <v>25.172872021954383</v>
      </c>
      <c r="AZ44" s="44"/>
      <c r="BA44" s="44" t="str">
        <f t="shared" ca="1" si="11"/>
        <v>Transform_SO</v>
      </c>
      <c r="BB44" s="44" t="str">
        <f t="shared" si="12"/>
        <v>Other revenue allowances</v>
      </c>
    </row>
    <row r="45" spans="1:54" s="9" customFormat="1" ht="16.5">
      <c r="E45" s="43" t="s">
        <v>797</v>
      </c>
      <c r="F45" s="150" t="str">
        <f>NGT_SO!F23</f>
        <v>SpC 5.6</v>
      </c>
      <c r="G45" s="43" t="str">
        <f t="shared" si="10"/>
        <v>£m 23/24 prices</v>
      </c>
      <c r="H45" s="48" t="s">
        <v>1064</v>
      </c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  <c r="AF45" s="43"/>
      <c r="AG45" s="43"/>
      <c r="AH45" s="43"/>
      <c r="AI45" s="43"/>
      <c r="AJ45" s="43"/>
      <c r="AK45" s="43"/>
      <c r="AL45" s="43"/>
      <c r="AM45" s="43"/>
      <c r="AN45" s="43"/>
      <c r="AO45" s="43"/>
      <c r="AP45" s="43"/>
      <c r="AQ45" s="43"/>
      <c r="AR45" s="43"/>
      <c r="AS45" s="43"/>
      <c r="AT45" s="76"/>
      <c r="AU45" s="174">
        <f>NGT_SO!AU23/PCf</f>
        <v>135.20489333223551</v>
      </c>
      <c r="AV45" s="50">
        <f>NGT_SO!AV23/PCf</f>
        <v>99.582770246069245</v>
      </c>
      <c r="AW45" s="50">
        <f>NGT_SO!AW23/PCf</f>
        <v>84.084295858739466</v>
      </c>
      <c r="AX45" s="50">
        <f>NGT_SO!AX23/PCf</f>
        <v>82.583567769539513</v>
      </c>
      <c r="AY45" s="50">
        <f>NGT_SO!AY23/PCf</f>
        <v>81.079551572372424</v>
      </c>
      <c r="AZ45" s="44"/>
      <c r="BA45" s="44" t="str">
        <f t="shared" ca="1" si="11"/>
        <v>Transform_SO</v>
      </c>
      <c r="BB45" s="44" t="str">
        <f t="shared" si="12"/>
        <v>Other revenue allowances</v>
      </c>
    </row>
    <row r="46" spans="1:54" s="9" customFormat="1" ht="16.5">
      <c r="E46" s="43" t="s">
        <v>286</v>
      </c>
      <c r="F46" s="150" t="str">
        <f>NGT_SO!F25</f>
        <v>SpC 5.6</v>
      </c>
      <c r="G46" s="43" t="str">
        <f t="shared" si="10"/>
        <v>£m 23/24 prices</v>
      </c>
      <c r="H46" s="48" t="s">
        <v>1065</v>
      </c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3"/>
      <c r="AS46" s="43"/>
      <c r="AT46" s="76"/>
      <c r="AU46" s="174">
        <f>NGT_SO!AU25/PCf</f>
        <v>0</v>
      </c>
      <c r="AV46" s="50">
        <f>NGT_SO!AV25/PCf</f>
        <v>0</v>
      </c>
      <c r="AW46" s="50">
        <f>NGT_SO!AW25/PCf</f>
        <v>0</v>
      </c>
      <c r="AX46" s="50">
        <f>NGT_SO!AX25/PCf</f>
        <v>0</v>
      </c>
      <c r="AY46" s="50">
        <f>NGT_SO!AY25/PCf</f>
        <v>0</v>
      </c>
      <c r="AZ46" s="44"/>
      <c r="BA46" s="44" t="str">
        <f t="shared" ca="1" si="11"/>
        <v>Transform_SO</v>
      </c>
      <c r="BB46" s="44" t="str">
        <f t="shared" ref="BB46" si="13">$A$37</f>
        <v>Other revenue allowances</v>
      </c>
    </row>
    <row r="47" spans="1:54" s="9" customFormat="1" ht="16.5">
      <c r="E47" s="43" t="s">
        <v>287</v>
      </c>
      <c r="F47" s="150" t="str">
        <f>NGT_SO!F26</f>
        <v>SpC 5.6</v>
      </c>
      <c r="G47" s="43" t="str">
        <f t="shared" si="10"/>
        <v>£m 23/24 prices</v>
      </c>
      <c r="H47" s="48" t="s">
        <v>1066</v>
      </c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43"/>
      <c r="AJ47" s="43"/>
      <c r="AK47" s="43"/>
      <c r="AL47" s="43"/>
      <c r="AM47" s="43"/>
      <c r="AN47" s="43"/>
      <c r="AO47" s="43"/>
      <c r="AP47" s="43"/>
      <c r="AQ47" s="43"/>
      <c r="AR47" s="43"/>
      <c r="AS47" s="43"/>
      <c r="AT47" s="76"/>
      <c r="AU47" s="174">
        <f>NGT_SO!AU26/PCf</f>
        <v>0</v>
      </c>
      <c r="AV47" s="50">
        <f>NGT_SO!AV26/PCf</f>
        <v>0</v>
      </c>
      <c r="AW47" s="50">
        <f>NGT_SO!AW26/PCf</f>
        <v>0</v>
      </c>
      <c r="AX47" s="50">
        <f>NGT_SO!AX26/PCf</f>
        <v>0</v>
      </c>
      <c r="AY47" s="50">
        <f>NGT_SO!AY26/PCf</f>
        <v>0</v>
      </c>
      <c r="AZ47" s="44"/>
      <c r="BA47" s="44" t="str">
        <f t="shared" ca="1" si="11"/>
        <v>Transform_SO</v>
      </c>
      <c r="BB47" s="44" t="str">
        <f t="shared" si="12"/>
        <v>Other revenue allowances</v>
      </c>
    </row>
    <row r="48" spans="1:54" s="9" customFormat="1" ht="16.5">
      <c r="E48" s="43" t="s">
        <v>289</v>
      </c>
      <c r="F48" s="150" t="str">
        <f>NGT_SO!F27</f>
        <v>SpC 5.6</v>
      </c>
      <c r="G48" s="43" t="str">
        <f t="shared" si="10"/>
        <v>£m 23/24 prices</v>
      </c>
      <c r="H48" s="48" t="s">
        <v>1067</v>
      </c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3"/>
      <c r="AS48" s="43"/>
      <c r="AT48" s="76"/>
      <c r="AU48" s="174">
        <f>NGT_SO!AU27/PCf</f>
        <v>0</v>
      </c>
      <c r="AV48" s="50">
        <f>NGT_SO!AV27/PCf</f>
        <v>0</v>
      </c>
      <c r="AW48" s="50">
        <f>NGT_SO!AW27/PCf</f>
        <v>0</v>
      </c>
      <c r="AX48" s="50">
        <f>NGT_SO!AX27/PCf</f>
        <v>0</v>
      </c>
      <c r="AY48" s="50">
        <f>NGT_SO!AY27/PCf</f>
        <v>0</v>
      </c>
      <c r="AZ48" s="44"/>
      <c r="BA48" s="44" t="str">
        <f t="shared" ca="1" si="11"/>
        <v>Transform_SO</v>
      </c>
      <c r="BB48" s="44" t="str">
        <f t="shared" si="12"/>
        <v>Other revenue allowances</v>
      </c>
    </row>
    <row r="49" spans="5:54" s="9" customFormat="1" ht="16.5">
      <c r="E49" s="43" t="s">
        <v>291</v>
      </c>
      <c r="F49" s="150"/>
      <c r="G49" s="43" t="str">
        <f t="shared" si="10"/>
        <v>£m 23/24 prices</v>
      </c>
      <c r="H49" s="4" t="s">
        <v>1123</v>
      </c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  <c r="AQ49" s="43"/>
      <c r="AR49" s="43"/>
      <c r="AS49" s="43"/>
      <c r="AT49" s="76"/>
      <c r="AU49" s="176">
        <f>SUM(AU43:AU48)</f>
        <v>160.3777653541899</v>
      </c>
      <c r="AV49" s="176">
        <f t="shared" ref="AV49:AY49" si="14">SUM(AV43:AV48)</f>
        <v>124.75564226802362</v>
      </c>
      <c r="AW49" s="176">
        <f t="shared" si="14"/>
        <v>109.25716788069384</v>
      </c>
      <c r="AX49" s="176">
        <f t="shared" si="14"/>
        <v>107.7564397914939</v>
      </c>
      <c r="AY49" s="176">
        <f t="shared" si="14"/>
        <v>106.25242359432681</v>
      </c>
      <c r="AZ49" s="44"/>
      <c r="BA49" s="44" t="str">
        <f t="shared" ca="1" si="11"/>
        <v>Transform_SO</v>
      </c>
      <c r="BB49" s="44" t="str">
        <f t="shared" si="12"/>
        <v>Other revenue allowances</v>
      </c>
    </row>
    <row r="50" spans="5:54" customFormat="1" ht="14.5">
      <c r="H50" s="4"/>
      <c r="AT50" s="77"/>
    </row>
    <row r="51" spans="5:54" s="9" customFormat="1" ht="16.5">
      <c r="E51" s="43" t="s">
        <v>288</v>
      </c>
      <c r="F51" s="150" t="str">
        <f>NGT_SO!F29</f>
        <v>SpC 5.8</v>
      </c>
      <c r="G51" s="43" t="str">
        <f t="shared" si="10"/>
        <v>£m 23/24 prices</v>
      </c>
      <c r="H51" s="48" t="s">
        <v>1068</v>
      </c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3"/>
      <c r="AS51" s="43"/>
      <c r="AT51" s="76"/>
      <c r="AU51" s="174">
        <f>NGT_SO!AU29/PCf</f>
        <v>0</v>
      </c>
      <c r="AV51" s="50">
        <f>NGT_SO!AV29/PCf</f>
        <v>0</v>
      </c>
      <c r="AW51" s="50">
        <f>NGT_SO!AW29/PCf</f>
        <v>0</v>
      </c>
      <c r="AX51" s="50">
        <f>NGT_SO!AX29/PCf</f>
        <v>0</v>
      </c>
      <c r="AY51" s="50">
        <f>NGT_SO!AY29/PCf</f>
        <v>0</v>
      </c>
      <c r="AZ51" s="44"/>
      <c r="BA51" s="44" t="str">
        <f t="shared" ca="1" si="11"/>
        <v>Transform_SO</v>
      </c>
      <c r="BB51" s="44" t="str">
        <f t="shared" si="12"/>
        <v>Other revenue allowances</v>
      </c>
    </row>
    <row r="52" spans="5:54" s="9" customFormat="1" ht="16.5">
      <c r="E52" s="43" t="s">
        <v>774</v>
      </c>
      <c r="F52" s="150" t="str">
        <f>NGT_SO!F30</f>
        <v>SpC 5.8</v>
      </c>
      <c r="G52" s="43" t="str">
        <f t="shared" si="10"/>
        <v>£m 23/24 prices</v>
      </c>
      <c r="H52" s="48" t="s">
        <v>1069</v>
      </c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F52" s="43"/>
      <c r="AG52" s="43"/>
      <c r="AH52" s="43"/>
      <c r="AI52" s="43"/>
      <c r="AJ52" s="43"/>
      <c r="AK52" s="43"/>
      <c r="AL52" s="43"/>
      <c r="AM52" s="43"/>
      <c r="AN52" s="43"/>
      <c r="AO52" s="43"/>
      <c r="AP52" s="43"/>
      <c r="AQ52" s="43"/>
      <c r="AR52" s="43"/>
      <c r="AS52" s="43"/>
      <c r="AT52" s="76"/>
      <c r="AU52" s="174">
        <f>NGT_SO!AU30/PCf</f>
        <v>0</v>
      </c>
      <c r="AV52" s="50">
        <f>NGT_SO!AV30/PCf</f>
        <v>0</v>
      </c>
      <c r="AW52" s="50">
        <f>NGT_SO!AW30/PCf</f>
        <v>0</v>
      </c>
      <c r="AX52" s="50">
        <f>NGT_SO!AX30/PCf</f>
        <v>0</v>
      </c>
      <c r="AY52" s="50">
        <f>NGT_SO!AY30/PCf</f>
        <v>0</v>
      </c>
      <c r="AZ52" s="44"/>
      <c r="BA52" s="44" t="str">
        <f t="shared" ca="1" si="11"/>
        <v>Transform_SO</v>
      </c>
      <c r="BB52" s="44" t="str">
        <f t="shared" si="12"/>
        <v>Other revenue allowances</v>
      </c>
    </row>
    <row r="53" spans="5:54" s="9" customFormat="1" ht="16.5">
      <c r="E53" s="43" t="s">
        <v>776</v>
      </c>
      <c r="F53" s="150" t="str">
        <f>NGT_SO!F31</f>
        <v>SpC 5.8</v>
      </c>
      <c r="G53" s="43" t="str">
        <f t="shared" si="10"/>
        <v>£m 23/24 prices</v>
      </c>
      <c r="H53" s="48" t="s">
        <v>1070</v>
      </c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3"/>
      <c r="AS53" s="43"/>
      <c r="AT53" s="76"/>
      <c r="AU53" s="174">
        <f>NGT_SO!AU31/PCf</f>
        <v>0</v>
      </c>
      <c r="AV53" s="50">
        <f>NGT_SO!AV31/PCf</f>
        <v>0</v>
      </c>
      <c r="AW53" s="50">
        <f>NGT_SO!AW31/PCf</f>
        <v>0</v>
      </c>
      <c r="AX53" s="50">
        <f>NGT_SO!AX31/PCf</f>
        <v>0</v>
      </c>
      <c r="AY53" s="50">
        <f>NGT_SO!AY31/PCf</f>
        <v>0</v>
      </c>
      <c r="AZ53" s="44"/>
      <c r="BA53" s="44" t="str">
        <f t="shared" ca="1" si="11"/>
        <v>Transform_SO</v>
      </c>
      <c r="BB53" s="44" t="str">
        <f t="shared" si="12"/>
        <v>Other revenue allowances</v>
      </c>
    </row>
    <row r="54" spans="5:54" s="9" customFormat="1" ht="16.5">
      <c r="E54" s="43" t="s">
        <v>815</v>
      </c>
      <c r="F54" s="150" t="s">
        <v>775</v>
      </c>
      <c r="G54" s="43" t="str">
        <f t="shared" si="10"/>
        <v>£m 23/24 prices</v>
      </c>
      <c r="H54" s="248" t="s">
        <v>1124</v>
      </c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76"/>
      <c r="AU54" s="176">
        <f>SUM(AU51:AU53)</f>
        <v>0</v>
      </c>
      <c r="AV54" s="53">
        <f t="shared" ref="AV54:AY54" si="15">SUM(AV51:AV53)</f>
        <v>0</v>
      </c>
      <c r="AW54" s="53">
        <f t="shared" si="15"/>
        <v>0</v>
      </c>
      <c r="AX54" s="53">
        <f t="shared" si="15"/>
        <v>0</v>
      </c>
      <c r="AY54" s="53">
        <f t="shared" si="15"/>
        <v>0</v>
      </c>
      <c r="AZ54" s="44"/>
      <c r="BA54" s="44" t="str">
        <f t="shared" ca="1" si="11"/>
        <v>Transform_SO</v>
      </c>
      <c r="BB54" s="44" t="str">
        <f t="shared" si="12"/>
        <v>Other revenue allowances</v>
      </c>
    </row>
    <row r="55" spans="5:54" s="9" customFormat="1">
      <c r="E55" s="43"/>
      <c r="F55" s="150"/>
      <c r="G55" s="43"/>
      <c r="H55" s="248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s="43"/>
      <c r="AO55" s="43"/>
      <c r="AP55" s="43"/>
      <c r="AQ55" s="43"/>
      <c r="AR55" s="43"/>
      <c r="AS55" s="43"/>
      <c r="AT55" s="76"/>
      <c r="AU55"/>
      <c r="AV55"/>
      <c r="AW55"/>
      <c r="AX55"/>
      <c r="AY55"/>
      <c r="AZ55" s="44"/>
      <c r="BA55" s="44"/>
      <c r="BB55" s="44"/>
    </row>
    <row r="56" spans="5:54" s="9" customFormat="1" ht="16.5">
      <c r="E56" s="43" t="s">
        <v>779</v>
      </c>
      <c r="F56" s="150" t="str">
        <f>NGT_SO!F33</f>
        <v>SpC 5.4</v>
      </c>
      <c r="G56" s="43" t="str">
        <f t="shared" si="10"/>
        <v>£m 23/24 prices</v>
      </c>
      <c r="H56" s="48" t="s">
        <v>1071</v>
      </c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s="43"/>
      <c r="AO56" s="43"/>
      <c r="AP56" s="43"/>
      <c r="AQ56" s="43"/>
      <c r="AR56" s="43"/>
      <c r="AS56" s="43"/>
      <c r="AT56" s="76"/>
      <c r="AU56" s="174">
        <f>NGT_SO!AU33</f>
        <v>0</v>
      </c>
      <c r="AV56" s="50">
        <f>NGT_SO!AV33</f>
        <v>0</v>
      </c>
      <c r="AW56" s="50">
        <f>NGT_SO!AW33</f>
        <v>0</v>
      </c>
      <c r="AX56" s="50">
        <f>NGT_SO!AX33</f>
        <v>0</v>
      </c>
      <c r="AY56" s="50">
        <f>NGT_SO!AY33</f>
        <v>0</v>
      </c>
      <c r="AZ56" s="44"/>
      <c r="BA56" s="44" t="str">
        <f ca="1">$A$1</f>
        <v>Transform_SO</v>
      </c>
      <c r="BB56" s="44" t="str">
        <f t="shared" si="12"/>
        <v>Other revenue allowances</v>
      </c>
    </row>
    <row r="57" spans="5:54" s="9" customFormat="1">
      <c r="E57" s="43"/>
      <c r="F57" s="150"/>
      <c r="G57" s="43"/>
      <c r="H57" s="248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3"/>
      <c r="AH57" s="43"/>
      <c r="AI57" s="43"/>
      <c r="AJ57" s="43"/>
      <c r="AK57" s="43"/>
      <c r="AL57" s="43"/>
      <c r="AM57" s="43"/>
      <c r="AN57" s="43"/>
      <c r="AO57" s="43"/>
      <c r="AP57" s="43"/>
      <c r="AQ57" s="43"/>
      <c r="AR57" s="43"/>
      <c r="AS57" s="43"/>
      <c r="AT57" s="76"/>
      <c r="AU57"/>
      <c r="AV57"/>
      <c r="AW57"/>
      <c r="AX57"/>
      <c r="AY57"/>
      <c r="AZ57" s="44"/>
      <c r="BA57" s="44"/>
      <c r="BB57" s="44"/>
    </row>
    <row r="58" spans="5:54" s="9" customFormat="1" ht="16.5">
      <c r="E58" s="43" t="s">
        <v>290</v>
      </c>
      <c r="F58" s="150"/>
      <c r="G58" s="43" t="str">
        <f t="shared" si="10"/>
        <v>£m 23/24 prices</v>
      </c>
      <c r="H58" s="248" t="s">
        <v>1122</v>
      </c>
      <c r="I58" s="56">
        <f>NGT_SO!I177</f>
        <v>1</v>
      </c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  <c r="AJ58" s="43"/>
      <c r="AK58" s="43"/>
      <c r="AL58" s="43"/>
      <c r="AM58" s="43"/>
      <c r="AN58" s="43"/>
      <c r="AO58" s="43"/>
      <c r="AP58" s="43"/>
      <c r="AQ58" s="43"/>
      <c r="AR58" s="43"/>
      <c r="AS58" s="43"/>
      <c r="AT58" s="76"/>
      <c r="AU58" s="97">
        <f>AU41</f>
        <v>0</v>
      </c>
      <c r="AV58" s="38">
        <f>AV41</f>
        <v>0</v>
      </c>
      <c r="AW58" s="38">
        <f>AW41</f>
        <v>0</v>
      </c>
      <c r="AX58" s="38">
        <f>AX41</f>
        <v>0</v>
      </c>
      <c r="AY58" s="38">
        <f>AY41</f>
        <v>0</v>
      </c>
      <c r="AZ58" s="44"/>
      <c r="BA58" s="44" t="str">
        <f ca="1">$A$1</f>
        <v>Transform_SO</v>
      </c>
      <c r="BB58" s="44" t="str">
        <f t="shared" si="12"/>
        <v>Other revenue allowances</v>
      </c>
    </row>
    <row r="59" spans="5:54" s="9" customFormat="1" ht="16.5">
      <c r="E59" s="43" t="s">
        <v>291</v>
      </c>
      <c r="F59" s="150"/>
      <c r="G59" s="43" t="str">
        <f t="shared" si="10"/>
        <v>£m 23/24 prices</v>
      </c>
      <c r="H59" s="248" t="s">
        <v>1123</v>
      </c>
      <c r="I59" s="56">
        <f>NGT_SO!I178</f>
        <v>1</v>
      </c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3"/>
      <c r="AT59" s="76"/>
      <c r="AU59" s="97">
        <f>AU49</f>
        <v>160.3777653541899</v>
      </c>
      <c r="AV59" s="38">
        <f>AV49</f>
        <v>124.75564226802362</v>
      </c>
      <c r="AW59" s="38">
        <f>AW49</f>
        <v>109.25716788069384</v>
      </c>
      <c r="AX59" s="38">
        <f>AX49</f>
        <v>107.7564397914939</v>
      </c>
      <c r="AY59" s="38">
        <f>AY49</f>
        <v>106.25242359432681</v>
      </c>
      <c r="AZ59" s="44"/>
      <c r="BA59" s="44" t="str">
        <f ca="1">$A$1</f>
        <v>Transform_SO</v>
      </c>
      <c r="BB59" s="44" t="str">
        <f t="shared" si="12"/>
        <v>Other revenue allowances</v>
      </c>
    </row>
    <row r="60" spans="5:54" s="9" customFormat="1" ht="16.5">
      <c r="E60" s="43" t="s">
        <v>815</v>
      </c>
      <c r="F60" s="150"/>
      <c r="G60" s="43" t="str">
        <f t="shared" si="10"/>
        <v>£m 23/24 prices</v>
      </c>
      <c r="H60" s="248" t="s">
        <v>1124</v>
      </c>
      <c r="I60" s="56">
        <f>NGT_SO!I179</f>
        <v>1</v>
      </c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76"/>
      <c r="AU60" s="97">
        <f>AU54</f>
        <v>0</v>
      </c>
      <c r="AV60" s="38">
        <f t="shared" ref="AV60:AY60" si="16">AV54</f>
        <v>0</v>
      </c>
      <c r="AW60" s="38">
        <f t="shared" si="16"/>
        <v>0</v>
      </c>
      <c r="AX60" s="38">
        <f t="shared" si="16"/>
        <v>0</v>
      </c>
      <c r="AY60" s="38">
        <f t="shared" si="16"/>
        <v>0</v>
      </c>
      <c r="AZ60" s="44"/>
      <c r="BA60" s="44" t="str">
        <f ca="1">$A$1</f>
        <v>Transform_SO</v>
      </c>
      <c r="BB60" s="44" t="str">
        <f t="shared" si="12"/>
        <v>Other revenue allowances</v>
      </c>
    </row>
    <row r="61" spans="5:54" s="9" customFormat="1" ht="16.5">
      <c r="E61" s="43" t="s">
        <v>779</v>
      </c>
      <c r="F61" s="150"/>
      <c r="G61" s="43" t="str">
        <f t="shared" si="10"/>
        <v>£m 23/24 prices</v>
      </c>
      <c r="H61" s="248" t="s">
        <v>1071</v>
      </c>
      <c r="I61" s="56">
        <f>NGT_SO!I180</f>
        <v>0</v>
      </c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3"/>
      <c r="AT61" s="76"/>
      <c r="AU61" s="97">
        <f>AU56</f>
        <v>0</v>
      </c>
      <c r="AV61" s="38">
        <f t="shared" ref="AV61:AY61" si="17">AV56</f>
        <v>0</v>
      </c>
      <c r="AW61" s="38">
        <f t="shared" si="17"/>
        <v>0</v>
      </c>
      <c r="AX61" s="38">
        <f t="shared" si="17"/>
        <v>0</v>
      </c>
      <c r="AY61" s="38">
        <f t="shared" si="17"/>
        <v>0</v>
      </c>
      <c r="AZ61" s="44"/>
      <c r="BA61" s="44" t="str">
        <f ca="1">$A$1</f>
        <v>Transform_SO</v>
      </c>
      <c r="BB61" s="44" t="str">
        <f t="shared" si="12"/>
        <v>Other revenue allowances</v>
      </c>
    </row>
    <row r="62" spans="5:54" s="9" customFormat="1" ht="16.5">
      <c r="E62" s="43" t="s">
        <v>115</v>
      </c>
      <c r="F62" s="150"/>
      <c r="G62" s="43" t="str">
        <f t="shared" si="10"/>
        <v>£m 23/24 prices</v>
      </c>
      <c r="H62" s="248" t="s">
        <v>1125</v>
      </c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76"/>
      <c r="AU62" s="176">
        <f>SUM(AU58:AU61)</f>
        <v>160.3777653541899</v>
      </c>
      <c r="AV62" s="53">
        <f t="shared" ref="AV62:AY62" si="18">SUM(AV58:AV61)</f>
        <v>124.75564226802362</v>
      </c>
      <c r="AW62" s="53">
        <f t="shared" si="18"/>
        <v>109.25716788069384</v>
      </c>
      <c r="AX62" s="53">
        <f t="shared" si="18"/>
        <v>107.7564397914939</v>
      </c>
      <c r="AY62" s="53">
        <f t="shared" si="18"/>
        <v>106.25242359432681</v>
      </c>
      <c r="AZ62" s="44"/>
      <c r="BA62" s="44" t="str">
        <f ca="1">$A$1</f>
        <v>Transform_SO</v>
      </c>
      <c r="BB62" s="44" t="str">
        <f t="shared" si="12"/>
        <v>Other revenue allowances</v>
      </c>
    </row>
    <row r="63" spans="5:54" s="9" customFormat="1">
      <c r="E63" s="43"/>
      <c r="F63" s="150"/>
      <c r="G63" s="43"/>
      <c r="H63" s="248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76"/>
      <c r="AU63"/>
      <c r="AV63"/>
      <c r="AW63"/>
      <c r="AX63"/>
      <c r="AY63"/>
      <c r="AZ63" s="44"/>
      <c r="BA63" s="44"/>
      <c r="BB63" s="44"/>
    </row>
    <row r="64" spans="5:54" s="9" customFormat="1">
      <c r="E64" s="43" t="s">
        <v>363</v>
      </c>
      <c r="F64" s="150"/>
      <c r="G64" s="43" t="str">
        <f>price_label</f>
        <v>£m 23/24 prices</v>
      </c>
      <c r="H64" s="150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76"/>
      <c r="AU64" s="143">
        <f>SUMPRODUCT(AU58:AU61,$I$58:$I$61)</f>
        <v>160.3777653541899</v>
      </c>
      <c r="AV64" s="54">
        <f t="shared" ref="AV64:AY64" si="19">SUMPRODUCT(AV58:AV61,$I$58:$I$61)</f>
        <v>124.75564226802362</v>
      </c>
      <c r="AW64" s="54">
        <f t="shared" si="19"/>
        <v>109.25716788069384</v>
      </c>
      <c r="AX64" s="54">
        <f t="shared" si="19"/>
        <v>107.7564397914939</v>
      </c>
      <c r="AY64" s="54">
        <f t="shared" si="19"/>
        <v>106.25242359432681</v>
      </c>
      <c r="AZ64" s="44"/>
      <c r="BA64" s="44" t="str">
        <f ca="1">$A$1</f>
        <v>Transform_SO</v>
      </c>
      <c r="BB64" s="44" t="str">
        <f>$A$37</f>
        <v>Other revenue allowances</v>
      </c>
    </row>
    <row r="65" spans="1:55" customFormat="1" ht="14.5">
      <c r="AT65" s="77"/>
    </row>
    <row r="66" spans="1:55" customFormat="1" ht="14.5">
      <c r="E66" t="s">
        <v>799</v>
      </c>
      <c r="G66" t="str">
        <f>price_label</f>
        <v>£m 23/24 prices</v>
      </c>
      <c r="AT66" s="77"/>
      <c r="AU66" s="96">
        <f>SUM(AU38,AU46,AU47,AU51,AU48,AU52,AU53)</f>
        <v>0</v>
      </c>
      <c r="AV66" s="61">
        <f>SUM(AV38,AV46,AV47,AV51,AV48,AV52,AV53)</f>
        <v>0</v>
      </c>
      <c r="AW66" s="61">
        <f>SUM(AW38,AW46,AW47,AW51,AW48,AW52,AW53)</f>
        <v>0</v>
      </c>
      <c r="AX66" s="61">
        <f>SUM(AX38,AX46,AX47,AX51,AX48,AX52,AX53)</f>
        <v>0</v>
      </c>
      <c r="AY66" s="61">
        <f>SUM(AY38,AY46,AY47,AY51,AY48,AY52,AY53)</f>
        <v>0</v>
      </c>
      <c r="BA66" s="44" t="str">
        <f ca="1">$A$1</f>
        <v>Transform_SO</v>
      </c>
      <c r="BB66" s="44" t="str">
        <f>$A$37</f>
        <v>Other revenue allowances</v>
      </c>
    </row>
    <row r="67" spans="1:55"/>
    <row r="68" spans="1:55" s="9" customFormat="1" ht="20" thickBot="1">
      <c r="A68" s="10" t="s">
        <v>240</v>
      </c>
      <c r="C68"/>
      <c r="D68"/>
      <c r="E68" s="43"/>
      <c r="F68" s="150"/>
      <c r="G68" s="43"/>
      <c r="H68" s="150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76"/>
      <c r="AU68" s="43"/>
      <c r="AV68" s="43"/>
      <c r="AW68" s="43"/>
      <c r="AX68" s="43"/>
      <c r="AY68" s="43"/>
      <c r="AZ68" s="44"/>
      <c r="BA68" s="44"/>
      <c r="BB68" s="44"/>
    </row>
    <row r="69" spans="1:55" s="9" customFormat="1" ht="17" thickTop="1">
      <c r="A69" s="8"/>
      <c r="B69" s="8"/>
      <c r="C69"/>
      <c r="D69"/>
      <c r="E69" s="43" t="s">
        <v>29</v>
      </c>
      <c r="F69" s="150" t="str">
        <f>NGT_SO!F49</f>
        <v>SpC 7.8</v>
      </c>
      <c r="G69" s="43" t="str">
        <f>nominal</f>
        <v>£m nominal</v>
      </c>
      <c r="H69" s="48" t="s">
        <v>1075</v>
      </c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76"/>
      <c r="AU69" s="174">
        <f>NGT_SO!AU49</f>
        <v>171.96320895042572</v>
      </c>
      <c r="AV69"/>
      <c r="AW69"/>
      <c r="AX69"/>
      <c r="AY69"/>
      <c r="AZ69" s="44"/>
      <c r="BA69" s="44" t="str">
        <f t="shared" ref="BA69:BA116" ca="1" si="20">$A$1</f>
        <v>Transform_SO</v>
      </c>
      <c r="BB69" s="44" t="str">
        <f t="shared" ref="BB69:BB83" si="21">$A$68</f>
        <v>Tax pools</v>
      </c>
    </row>
    <row r="70" spans="1:55" s="9" customFormat="1" ht="16.5">
      <c r="A70" s="8"/>
      <c r="B70" s="8"/>
      <c r="C70"/>
      <c r="D70"/>
      <c r="E70" s="43" t="s">
        <v>340</v>
      </c>
      <c r="F70" s="150">
        <f>NGT_SO!F53</f>
        <v>0</v>
      </c>
      <c r="G70" s="43" t="str">
        <f t="shared" ref="G70:G75" si="22">nominal</f>
        <v>£m nominal</v>
      </c>
      <c r="H70" s="48" t="s">
        <v>1079</v>
      </c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76"/>
      <c r="AU70" s="174">
        <f>NGT_SO!AU53</f>
        <v>0</v>
      </c>
      <c r="AV70"/>
      <c r="AW70"/>
      <c r="AX70"/>
      <c r="AY70"/>
      <c r="AZ70" s="44"/>
      <c r="BA70" s="44" t="str">
        <f ca="1">$A$1</f>
        <v>Transform_SO</v>
      </c>
      <c r="BB70" s="44" t="str">
        <f>$A$68</f>
        <v>Tax pools</v>
      </c>
      <c r="BC70" s="44"/>
    </row>
    <row r="71" spans="1:55" s="9" customFormat="1" ht="16.5">
      <c r="A71" s="8"/>
      <c r="B71" s="8"/>
      <c r="C71"/>
      <c r="D71"/>
      <c r="E71" s="43" t="s">
        <v>344</v>
      </c>
      <c r="F71" s="150">
        <f>NGT_SO!F153</f>
        <v>0</v>
      </c>
      <c r="G71" s="43" t="s">
        <v>33</v>
      </c>
      <c r="H71" s="48" t="s">
        <v>1085</v>
      </c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76"/>
      <c r="AU71" s="175">
        <f>NGT_SO!AU153</f>
        <v>0</v>
      </c>
      <c r="AV71" s="56">
        <f>NGT_SO!AV153</f>
        <v>0</v>
      </c>
      <c r="AW71" s="56">
        <f>NGT_SO!AW153</f>
        <v>0</v>
      </c>
      <c r="AX71" s="56">
        <f>NGT_SO!AX153</f>
        <v>0</v>
      </c>
      <c r="AY71" s="56">
        <f>NGT_SO!AY153</f>
        <v>0</v>
      </c>
      <c r="AZ71" s="44"/>
      <c r="BA71" s="44" t="str">
        <f ca="1">$A$1</f>
        <v>Transform_SO</v>
      </c>
      <c r="BB71" s="44" t="str">
        <f>$A$68</f>
        <v>Tax pools</v>
      </c>
    </row>
    <row r="72" spans="1:55" s="9" customFormat="1">
      <c r="A72" s="8"/>
      <c r="B72" s="8"/>
      <c r="C72"/>
      <c r="D72"/>
      <c r="E72" s="43" t="s">
        <v>345</v>
      </c>
      <c r="F72" s="150">
        <f>NGT_SO!F169</f>
        <v>0</v>
      </c>
      <c r="G72" s="43" t="s">
        <v>33</v>
      </c>
      <c r="H72" s="248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76"/>
      <c r="AU72" s="175">
        <f>NGT_SO!AU169</f>
        <v>1</v>
      </c>
      <c r="AV72" s="56">
        <f>NGT_SO!AV169</f>
        <v>1</v>
      </c>
      <c r="AW72" s="56">
        <f>NGT_SO!AW169</f>
        <v>1</v>
      </c>
      <c r="AX72" s="56">
        <f>NGT_SO!AX169</f>
        <v>1</v>
      </c>
      <c r="AY72" s="56">
        <f>NGT_SO!AY169</f>
        <v>1</v>
      </c>
      <c r="AZ72" s="44"/>
      <c r="BA72" s="44" t="str">
        <f ca="1">$A$1</f>
        <v>Transform_SO</v>
      </c>
      <c r="BB72" s="44" t="str">
        <f>$A$68</f>
        <v>Tax pools</v>
      </c>
    </row>
    <row r="73" spans="1:55" customFormat="1" ht="14.5">
      <c r="F73" s="151"/>
      <c r="H73" s="249"/>
      <c r="AT73" s="77"/>
    </row>
    <row r="74" spans="1:55" s="9" customFormat="1" ht="16.5">
      <c r="A74" s="8"/>
      <c r="B74" s="8"/>
      <c r="C74"/>
      <c r="D74"/>
      <c r="E74" s="43" t="s">
        <v>718</v>
      </c>
      <c r="F74" s="150" t="str">
        <f>NGT_SO!F50</f>
        <v>SpC 7.8</v>
      </c>
      <c r="G74" s="43" t="str">
        <f t="shared" ref="G74:G116" si="23">nominal</f>
        <v>£m nominal</v>
      </c>
      <c r="H74" s="48" t="s">
        <v>1076</v>
      </c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  <c r="AF74" s="43"/>
      <c r="AG74" s="43"/>
      <c r="AH74" s="43"/>
      <c r="AI74" s="43"/>
      <c r="AJ74" s="43"/>
      <c r="AK74" s="43"/>
      <c r="AL74" s="43"/>
      <c r="AM74" s="43"/>
      <c r="AN74" s="43"/>
      <c r="AO74" s="43"/>
      <c r="AP74" s="43"/>
      <c r="AQ74" s="43"/>
      <c r="AR74" s="43"/>
      <c r="AS74" s="43"/>
      <c r="AT74" s="76"/>
      <c r="AU74" s="174">
        <f>NGT_SO!AU50</f>
        <v>0</v>
      </c>
      <c r="AV74"/>
      <c r="AW74"/>
      <c r="AX74"/>
      <c r="AY74"/>
      <c r="AZ74" s="44"/>
      <c r="BA74" s="44" t="str">
        <f t="shared" ca="1" si="20"/>
        <v>Transform_SO</v>
      </c>
      <c r="BB74" s="44" t="str">
        <f t="shared" si="21"/>
        <v>Tax pools</v>
      </c>
    </row>
    <row r="75" spans="1:55" s="9" customFormat="1" ht="16.5">
      <c r="A75" s="8"/>
      <c r="B75" s="8"/>
      <c r="C75"/>
      <c r="D75"/>
      <c r="E75" s="43" t="s">
        <v>717</v>
      </c>
      <c r="F75" s="150">
        <f>NGT_SO!F54</f>
        <v>0</v>
      </c>
      <c r="G75" s="43" t="str">
        <f t="shared" si="22"/>
        <v>£m nominal</v>
      </c>
      <c r="H75" s="48" t="s">
        <v>1080</v>
      </c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43"/>
      <c r="AI75" s="43"/>
      <c r="AJ75" s="43"/>
      <c r="AK75" s="43"/>
      <c r="AL75" s="43"/>
      <c r="AM75" s="43"/>
      <c r="AN75" s="43"/>
      <c r="AO75" s="43"/>
      <c r="AP75" s="43"/>
      <c r="AQ75" s="43"/>
      <c r="AR75" s="43"/>
      <c r="AS75" s="43"/>
      <c r="AT75" s="76"/>
      <c r="AU75" s="174">
        <f>NGT_SO!AU54</f>
        <v>0</v>
      </c>
      <c r="AV75"/>
      <c r="AW75"/>
      <c r="AX75"/>
      <c r="AY75"/>
      <c r="AZ75" s="44"/>
      <c r="BA75" s="44" t="str">
        <f ca="1">$A$1</f>
        <v>Transform_SO</v>
      </c>
      <c r="BB75" s="44" t="str">
        <f>$A$68</f>
        <v>Tax pools</v>
      </c>
      <c r="BC75" s="44"/>
    </row>
    <row r="76" spans="1:55" s="9" customFormat="1" ht="16.5">
      <c r="A76" s="8"/>
      <c r="B76" s="8"/>
      <c r="C76"/>
      <c r="D76"/>
      <c r="E76" s="43" t="s">
        <v>726</v>
      </c>
      <c r="F76" s="150">
        <f>NGT_SO!F154</f>
        <v>0</v>
      </c>
      <c r="G76" s="43" t="s">
        <v>33</v>
      </c>
      <c r="H76" s="48" t="s">
        <v>1086</v>
      </c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43"/>
      <c r="AL76" s="43"/>
      <c r="AM76" s="43"/>
      <c r="AN76" s="43"/>
      <c r="AO76" s="43"/>
      <c r="AP76" s="43"/>
      <c r="AQ76" s="43"/>
      <c r="AR76" s="43"/>
      <c r="AS76" s="43"/>
      <c r="AT76" s="76"/>
      <c r="AU76" s="175">
        <f>NGT_SO!AU154</f>
        <v>0</v>
      </c>
      <c r="AV76" s="56">
        <f>NGT_SO!AV154</f>
        <v>0</v>
      </c>
      <c r="AW76" s="56">
        <f>NGT_SO!AW154</f>
        <v>0</v>
      </c>
      <c r="AX76" s="56">
        <f>NGT_SO!AX154</f>
        <v>0</v>
      </c>
      <c r="AY76" s="56">
        <f>NGT_SO!AY154</f>
        <v>0</v>
      </c>
      <c r="AZ76" s="44"/>
      <c r="BA76" s="44" t="str">
        <f ca="1">$A$1</f>
        <v>Transform_SO</v>
      </c>
      <c r="BB76" s="44" t="str">
        <f>$A$68</f>
        <v>Tax pools</v>
      </c>
    </row>
    <row r="77" spans="1:55" s="9" customFormat="1">
      <c r="A77" s="8"/>
      <c r="B77" s="8"/>
      <c r="C77"/>
      <c r="D77"/>
      <c r="E77" s="43" t="s">
        <v>721</v>
      </c>
      <c r="F77" s="150">
        <f>NGT_SO!F170</f>
        <v>0</v>
      </c>
      <c r="G77" s="43" t="s">
        <v>33</v>
      </c>
      <c r="H77" s="248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  <c r="AF77" s="43"/>
      <c r="AG77" s="43"/>
      <c r="AH77" s="43"/>
      <c r="AI77" s="43"/>
      <c r="AJ77" s="43"/>
      <c r="AK77" s="43"/>
      <c r="AL77" s="43"/>
      <c r="AM77" s="43"/>
      <c r="AN77" s="43"/>
      <c r="AO77" s="43"/>
      <c r="AP77" s="43"/>
      <c r="AQ77" s="43"/>
      <c r="AR77" s="43"/>
      <c r="AS77" s="43"/>
      <c r="AT77" s="76"/>
      <c r="AU77" s="175">
        <f>NGT_SO!AU170</f>
        <v>0.5</v>
      </c>
      <c r="AV77" s="56">
        <f>NGT_SO!AV170</f>
        <v>0.5</v>
      </c>
      <c r="AW77" s="56">
        <f>NGT_SO!AW170</f>
        <v>0.5</v>
      </c>
      <c r="AX77" s="56">
        <f>NGT_SO!AX170</f>
        <v>0.5</v>
      </c>
      <c r="AY77" s="56">
        <f>NGT_SO!AY170</f>
        <v>0.5</v>
      </c>
      <c r="AZ77" s="44"/>
      <c r="BA77" s="44" t="str">
        <f ca="1">$A$1</f>
        <v>Transform_SO</v>
      </c>
      <c r="BB77" s="44" t="str">
        <f>$A$68</f>
        <v>Tax pools</v>
      </c>
    </row>
    <row r="78" spans="1:55" customFormat="1" ht="14.5">
      <c r="F78" s="151"/>
      <c r="H78" s="249"/>
      <c r="AT78" s="77"/>
    </row>
    <row r="79" spans="1:55" s="9" customFormat="1" ht="16.5">
      <c r="A79" s="8"/>
      <c r="B79" s="8"/>
      <c r="C79"/>
      <c r="D79"/>
      <c r="E79" s="43" t="s">
        <v>719</v>
      </c>
      <c r="F79" s="150" t="str">
        <f>NGT_SO!F51</f>
        <v>SpC 7.8</v>
      </c>
      <c r="G79" s="43" t="str">
        <f t="shared" si="23"/>
        <v>£m nominal</v>
      </c>
      <c r="H79" s="48" t="s">
        <v>1077</v>
      </c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3"/>
      <c r="AG79" s="43"/>
      <c r="AH79" s="43"/>
      <c r="AI79" s="43"/>
      <c r="AJ79" s="43"/>
      <c r="AK79" s="43"/>
      <c r="AL79" s="43"/>
      <c r="AM79" s="43"/>
      <c r="AN79" s="43"/>
      <c r="AO79" s="43"/>
      <c r="AP79" s="43"/>
      <c r="AQ79" s="43"/>
      <c r="AR79" s="43"/>
      <c r="AS79" s="43"/>
      <c r="AT79" s="76"/>
      <c r="AU79" s="174">
        <f>NGT_SO!AU51</f>
        <v>0</v>
      </c>
      <c r="AV79"/>
      <c r="AW79"/>
      <c r="AX79"/>
      <c r="AY79"/>
      <c r="AZ79" s="44"/>
      <c r="BA79" s="44" t="str">
        <f t="shared" ca="1" si="20"/>
        <v>Transform_SO</v>
      </c>
      <c r="BB79" s="44" t="str">
        <f t="shared" si="21"/>
        <v>Tax pools</v>
      </c>
    </row>
    <row r="80" spans="1:55" s="9" customFormat="1" ht="16.5">
      <c r="A80" s="8"/>
      <c r="B80" s="8"/>
      <c r="C80"/>
      <c r="D80"/>
      <c r="E80" s="43" t="s">
        <v>807</v>
      </c>
      <c r="F80" s="150" t="str">
        <f>NGT_SO!F52</f>
        <v>SpC 7.8</v>
      </c>
      <c r="G80" s="43" t="str">
        <f t="shared" si="23"/>
        <v>£m nominal</v>
      </c>
      <c r="H80" s="48" t="s">
        <v>1081</v>
      </c>
      <c r="I80" s="43"/>
      <c r="J80" s="43" t="s">
        <v>10</v>
      </c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  <c r="AF80" s="43"/>
      <c r="AG80" s="43"/>
      <c r="AH80" s="43"/>
      <c r="AI80" s="43"/>
      <c r="AJ80" s="43"/>
      <c r="AK80" s="43"/>
      <c r="AL80" s="43"/>
      <c r="AM80" s="43"/>
      <c r="AN80" s="43"/>
      <c r="AO80" s="43"/>
      <c r="AP80" s="43"/>
      <c r="AQ80" s="43"/>
      <c r="AR80" s="43"/>
      <c r="AS80" s="43"/>
      <c r="AT80" s="193">
        <f>NGT_SO!AT55</f>
        <v>0</v>
      </c>
      <c r="AU80"/>
      <c r="AV80"/>
      <c r="AW80"/>
      <c r="AX80"/>
      <c r="AY80"/>
      <c r="AZ80" s="44"/>
      <c r="BA80" s="44" t="str">
        <f t="shared" ca="1" si="20"/>
        <v>Transform_SO</v>
      </c>
      <c r="BB80" s="44" t="str">
        <f t="shared" si="21"/>
        <v>Tax pools</v>
      </c>
    </row>
    <row r="81" spans="1:55" customFormat="1" ht="14.5">
      <c r="F81" s="151"/>
      <c r="H81" s="249"/>
      <c r="AT81" s="77"/>
    </row>
    <row r="82" spans="1:55" s="9" customFormat="1" ht="16.5">
      <c r="A82" s="8"/>
      <c r="B82" s="8"/>
      <c r="C82"/>
      <c r="D82"/>
      <c r="E82" s="43" t="s">
        <v>720</v>
      </c>
      <c r="F82" s="150" t="str">
        <f>NGT_SO!F52</f>
        <v>SpC 7.8</v>
      </c>
      <c r="G82" s="43" t="str">
        <f t="shared" si="23"/>
        <v>£m nominal</v>
      </c>
      <c r="H82" s="48" t="s">
        <v>1078</v>
      </c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43"/>
      <c r="AI82" s="43"/>
      <c r="AJ82" s="43"/>
      <c r="AK82" s="43"/>
      <c r="AL82" s="43"/>
      <c r="AM82" s="43"/>
      <c r="AN82" s="43"/>
      <c r="AO82" s="43"/>
      <c r="AP82" s="43"/>
      <c r="AQ82" s="43"/>
      <c r="AR82" s="43"/>
      <c r="AS82" s="43"/>
      <c r="AT82" s="76"/>
      <c r="AU82" s="174">
        <f>NGT_SO!AU52</f>
        <v>0</v>
      </c>
      <c r="AV82"/>
      <c r="AW82"/>
      <c r="AX82"/>
      <c r="AY82"/>
      <c r="AZ82" s="44"/>
      <c r="BA82" s="44" t="str">
        <f t="shared" ca="1" si="20"/>
        <v>Transform_SO</v>
      </c>
      <c r="BB82" s="44" t="str">
        <f t="shared" si="21"/>
        <v>Tax pools</v>
      </c>
    </row>
    <row r="83" spans="1:55" s="9" customFormat="1" ht="16.5">
      <c r="A83" s="8"/>
      <c r="B83" s="8"/>
      <c r="C83"/>
      <c r="D83"/>
      <c r="E83" s="43" t="s">
        <v>806</v>
      </c>
      <c r="F83" s="150" t="str">
        <f>NGT_SO!F55</f>
        <v>SpC 7.8</v>
      </c>
      <c r="G83" s="43" t="str">
        <f t="shared" si="23"/>
        <v>£m nominal</v>
      </c>
      <c r="H83" s="48" t="s">
        <v>1082</v>
      </c>
      <c r="I83" s="43"/>
      <c r="J83" s="43" t="s">
        <v>10</v>
      </c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  <c r="AF83" s="43"/>
      <c r="AG83" s="43"/>
      <c r="AH83" s="43"/>
      <c r="AI83" s="43"/>
      <c r="AJ83" s="43"/>
      <c r="AK83" s="43"/>
      <c r="AL83" s="43"/>
      <c r="AM83" s="43"/>
      <c r="AN83" s="43"/>
      <c r="AO83"/>
      <c r="AP83"/>
      <c r="AQ83"/>
      <c r="AR83"/>
      <c r="AS83"/>
      <c r="AT83" s="92">
        <f>NGT_SO!AT56</f>
        <v>0</v>
      </c>
      <c r="AU83"/>
      <c r="AV83"/>
      <c r="AW83"/>
      <c r="AX83"/>
      <c r="AY83"/>
      <c r="AZ83" s="44"/>
      <c r="BA83" s="44" t="str">
        <f t="shared" ca="1" si="20"/>
        <v>Transform_SO</v>
      </c>
      <c r="BB83" s="44" t="str">
        <f t="shared" si="21"/>
        <v>Tax pools</v>
      </c>
    </row>
    <row r="84" spans="1:55" s="9" customFormat="1">
      <c r="A84" s="8"/>
      <c r="B84" s="8"/>
      <c r="C84"/>
      <c r="D84"/>
      <c r="E84" s="43"/>
      <c r="F84" s="150"/>
      <c r="G84" s="43"/>
      <c r="H84" s="248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  <c r="AF84" s="43"/>
      <c r="AG84" s="43"/>
      <c r="AH84" s="43"/>
      <c r="AI84" s="43"/>
      <c r="AJ84" s="43"/>
      <c r="AK84" s="43"/>
      <c r="AL84" s="43"/>
      <c r="AM84" s="43"/>
      <c r="AN84" s="43"/>
      <c r="AO84" s="43"/>
      <c r="AP84" s="43"/>
      <c r="AQ84" s="43"/>
      <c r="AR84" s="43"/>
      <c r="AS84" s="43"/>
      <c r="AT84" s="76"/>
      <c r="AU84" s="43"/>
      <c r="AV84" s="43"/>
      <c r="AW84" s="43"/>
      <c r="AX84" s="43"/>
      <c r="AY84" s="43"/>
      <c r="AZ84" s="44"/>
      <c r="BA84" s="44"/>
      <c r="BB84" s="44"/>
    </row>
    <row r="85" spans="1:55" s="9" customFormat="1" ht="16.5">
      <c r="A85" s="8"/>
      <c r="B85" s="8"/>
      <c r="C85"/>
      <c r="D85"/>
      <c r="E85" s="43" t="s">
        <v>32</v>
      </c>
      <c r="F85" s="150">
        <f>NGT_SO!F155</f>
        <v>0</v>
      </c>
      <c r="G85" s="43" t="s">
        <v>33</v>
      </c>
      <c r="H85" s="48" t="s">
        <v>1087</v>
      </c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43"/>
      <c r="AL85" s="43"/>
      <c r="AM85" s="43"/>
      <c r="AN85" s="43"/>
      <c r="AO85" s="43"/>
      <c r="AP85" s="43"/>
      <c r="AQ85" s="43"/>
      <c r="AR85" s="43"/>
      <c r="AS85" s="43"/>
      <c r="AT85" s="76"/>
      <c r="AU85" s="175">
        <f>NGT_SO!AU155</f>
        <v>0.39784163033665798</v>
      </c>
      <c r="AV85" s="56">
        <f>NGT_SO!AV155</f>
        <v>0.4400821305622874</v>
      </c>
      <c r="AW85" s="56">
        <f>NGT_SO!AW155</f>
        <v>0.41219352618333327</v>
      </c>
      <c r="AX85" s="56">
        <f>NGT_SO!AX155</f>
        <v>0.34995903630079878</v>
      </c>
      <c r="AY85" s="56">
        <f>NGT_SO!AY155</f>
        <v>0.29574615478557031</v>
      </c>
      <c r="AZ85" s="44"/>
      <c r="BA85" s="44" t="str">
        <f t="shared" ref="BA85:BA90" ca="1" si="24">$A$1</f>
        <v>Transform_SO</v>
      </c>
      <c r="BB85" s="44" t="str">
        <f t="shared" ref="BB85:BB90" si="25">$A$68</f>
        <v>Tax pools</v>
      </c>
    </row>
    <row r="86" spans="1:55" s="9" customFormat="1" ht="16.5">
      <c r="A86" s="8"/>
      <c r="B86" s="8"/>
      <c r="C86"/>
      <c r="D86"/>
      <c r="E86" s="43" t="s">
        <v>34</v>
      </c>
      <c r="F86" s="150">
        <f>NGT_SO!F156</f>
        <v>0</v>
      </c>
      <c r="G86" s="43" t="s">
        <v>33</v>
      </c>
      <c r="H86" s="48" t="s">
        <v>1088</v>
      </c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  <c r="AF86" s="43"/>
      <c r="AG86" s="43"/>
      <c r="AH86" s="43"/>
      <c r="AI86" s="43"/>
      <c r="AJ86" s="43"/>
      <c r="AK86" s="43"/>
      <c r="AL86" s="43"/>
      <c r="AM86" s="43"/>
      <c r="AN86" s="43"/>
      <c r="AO86" s="43"/>
      <c r="AP86" s="43"/>
      <c r="AQ86" s="43"/>
      <c r="AR86" s="43"/>
      <c r="AS86" s="43"/>
      <c r="AT86" s="76"/>
      <c r="AU86" s="175">
        <f>NGT_SO!AU156</f>
        <v>0</v>
      </c>
      <c r="AV86" s="56">
        <f>NGT_SO!AV156</f>
        <v>0</v>
      </c>
      <c r="AW86" s="56">
        <f>NGT_SO!AW156</f>
        <v>0</v>
      </c>
      <c r="AX86" s="56">
        <f>NGT_SO!AX156</f>
        <v>0</v>
      </c>
      <c r="AY86" s="56">
        <f>NGT_SO!AY156</f>
        <v>0</v>
      </c>
      <c r="AZ86" s="44"/>
      <c r="BA86" s="44" t="str">
        <f t="shared" ca="1" si="24"/>
        <v>Transform_SO</v>
      </c>
      <c r="BB86" s="44" t="str">
        <f t="shared" si="25"/>
        <v>Tax pools</v>
      </c>
    </row>
    <row r="87" spans="1:55" s="9" customFormat="1" ht="16.5">
      <c r="A87" s="8"/>
      <c r="B87" s="8"/>
      <c r="C87"/>
      <c r="D87"/>
      <c r="E87" s="43" t="s">
        <v>35</v>
      </c>
      <c r="F87" s="150">
        <f>NGT_SO!F157</f>
        <v>0</v>
      </c>
      <c r="G87" s="43" t="s">
        <v>33</v>
      </c>
      <c r="H87" s="48" t="s">
        <v>1089</v>
      </c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/>
      <c r="AG87" s="43"/>
      <c r="AH87" s="43"/>
      <c r="AI87" s="43"/>
      <c r="AJ87" s="43"/>
      <c r="AK87" s="43"/>
      <c r="AL87" s="43"/>
      <c r="AM87" s="43"/>
      <c r="AN87" s="43"/>
      <c r="AO87" s="43"/>
      <c r="AP87" s="43"/>
      <c r="AQ87" s="43"/>
      <c r="AR87" s="43"/>
      <c r="AS87" s="43"/>
      <c r="AT87" s="76"/>
      <c r="AU87" s="175">
        <f>NGT_SO!AU157</f>
        <v>0</v>
      </c>
      <c r="AV87" s="56">
        <f>NGT_SO!AV157</f>
        <v>0</v>
      </c>
      <c r="AW87" s="56">
        <f>NGT_SO!AW157</f>
        <v>0</v>
      </c>
      <c r="AX87" s="56">
        <f>NGT_SO!AX157</f>
        <v>0</v>
      </c>
      <c r="AY87" s="56">
        <f>NGT_SO!AY157</f>
        <v>0</v>
      </c>
      <c r="AZ87" s="44"/>
      <c r="BA87" s="44" t="str">
        <f t="shared" ca="1" si="24"/>
        <v>Transform_SO</v>
      </c>
      <c r="BB87" s="44" t="str">
        <f t="shared" si="25"/>
        <v>Tax pools</v>
      </c>
    </row>
    <row r="88" spans="1:55" s="9" customFormat="1" ht="16.5">
      <c r="A88" s="8"/>
      <c r="B88" s="8"/>
      <c r="C88"/>
      <c r="D88"/>
      <c r="E88" s="43" t="s">
        <v>36</v>
      </c>
      <c r="F88" s="150">
        <f>NGT_SO!F158</f>
        <v>0</v>
      </c>
      <c r="G88" s="43" t="s">
        <v>33</v>
      </c>
      <c r="H88" s="48" t="s">
        <v>1090</v>
      </c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  <c r="AF88" s="43"/>
      <c r="AG88" s="43"/>
      <c r="AH88" s="43"/>
      <c r="AI88" s="43"/>
      <c r="AJ88" s="43"/>
      <c r="AK88" s="43"/>
      <c r="AL88" s="43"/>
      <c r="AM88" s="43"/>
      <c r="AN88" s="43"/>
      <c r="AO88" s="43"/>
      <c r="AP88" s="43"/>
      <c r="AQ88" s="43"/>
      <c r="AR88" s="43"/>
      <c r="AS88" s="43"/>
      <c r="AT88" s="76"/>
      <c r="AU88" s="175">
        <f>NGT_SO!AU158</f>
        <v>0</v>
      </c>
      <c r="AV88" s="56">
        <f>NGT_SO!AV158</f>
        <v>0</v>
      </c>
      <c r="AW88" s="56">
        <f>NGT_SO!AW158</f>
        <v>0</v>
      </c>
      <c r="AX88" s="56">
        <f>NGT_SO!AX158</f>
        <v>0</v>
      </c>
      <c r="AY88" s="56">
        <f>NGT_SO!AY158</f>
        <v>0</v>
      </c>
      <c r="AZ88" s="44"/>
      <c r="BA88" s="44" t="str">
        <f t="shared" ca="1" si="24"/>
        <v>Transform_SO</v>
      </c>
      <c r="BB88" s="44" t="str">
        <f t="shared" si="25"/>
        <v>Tax pools</v>
      </c>
    </row>
    <row r="89" spans="1:55" s="9" customFormat="1" ht="16.5">
      <c r="A89" s="8"/>
      <c r="B89" s="8"/>
      <c r="C89"/>
      <c r="D89"/>
      <c r="E89" s="43" t="s">
        <v>38</v>
      </c>
      <c r="F89" s="150">
        <f>NGT_SO!F159</f>
        <v>0</v>
      </c>
      <c r="G89" s="43" t="s">
        <v>33</v>
      </c>
      <c r="H89" s="48" t="s">
        <v>1091</v>
      </c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  <c r="AF89" s="43"/>
      <c r="AG89" s="43"/>
      <c r="AH89" s="43"/>
      <c r="AI89" s="43"/>
      <c r="AJ89" s="43"/>
      <c r="AK89" s="43"/>
      <c r="AL89" s="43"/>
      <c r="AM89" s="43"/>
      <c r="AN89" s="43"/>
      <c r="AO89" s="43"/>
      <c r="AP89" s="43"/>
      <c r="AQ89" s="43"/>
      <c r="AR89" s="43"/>
      <c r="AS89" s="43"/>
      <c r="AT89" s="76"/>
      <c r="AU89" s="175">
        <f>NGT_SO!AU159</f>
        <v>0</v>
      </c>
      <c r="AV89" s="56">
        <f>NGT_SO!AV159</f>
        <v>0</v>
      </c>
      <c r="AW89" s="56">
        <f>NGT_SO!AW159</f>
        <v>0</v>
      </c>
      <c r="AX89" s="56">
        <f>NGT_SO!AX159</f>
        <v>0</v>
      </c>
      <c r="AY89" s="56">
        <f>NGT_SO!AY159</f>
        <v>0</v>
      </c>
      <c r="AZ89" s="44"/>
      <c r="BA89" s="44" t="str">
        <f t="shared" ca="1" si="24"/>
        <v>Transform_SO</v>
      </c>
      <c r="BB89" s="44" t="str">
        <f t="shared" si="25"/>
        <v>Tax pools</v>
      </c>
    </row>
    <row r="90" spans="1:55" s="9" customFormat="1" ht="16.5">
      <c r="A90" s="8"/>
      <c r="B90" s="8"/>
      <c r="C90"/>
      <c r="D90"/>
      <c r="E90" s="43" t="s">
        <v>37</v>
      </c>
      <c r="F90" s="150">
        <f>NGT_SO!F160</f>
        <v>0</v>
      </c>
      <c r="G90" s="43" t="s">
        <v>33</v>
      </c>
      <c r="H90" s="48" t="s">
        <v>1092</v>
      </c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F90" s="43"/>
      <c r="AG90" s="43"/>
      <c r="AH90" s="43"/>
      <c r="AI90" s="43"/>
      <c r="AJ90" s="43"/>
      <c r="AK90" s="43"/>
      <c r="AL90" s="43"/>
      <c r="AM90" s="43"/>
      <c r="AN90" s="43"/>
      <c r="AO90" s="43"/>
      <c r="AP90" s="43"/>
      <c r="AQ90" s="43"/>
      <c r="AR90" s="43"/>
      <c r="AS90" s="43"/>
      <c r="AT90" s="76"/>
      <c r="AU90" s="175">
        <f>NGT_SO!AU160</f>
        <v>0.60215836966334191</v>
      </c>
      <c r="AV90" s="56">
        <f>NGT_SO!AV160</f>
        <v>0.55991786943771249</v>
      </c>
      <c r="AW90" s="56">
        <f>NGT_SO!AW160</f>
        <v>0.58780647381666673</v>
      </c>
      <c r="AX90" s="56">
        <f>NGT_SO!AX160</f>
        <v>0.65004096369920117</v>
      </c>
      <c r="AY90" s="56">
        <f>NGT_SO!AY160</f>
        <v>0.70425384521442969</v>
      </c>
      <c r="AZ90" s="44"/>
      <c r="BA90" s="44" t="str">
        <f t="shared" ca="1" si="24"/>
        <v>Transform_SO</v>
      </c>
      <c r="BB90" s="44" t="str">
        <f t="shared" si="25"/>
        <v>Tax pools</v>
      </c>
    </row>
    <row r="91" spans="1:55" s="9" customFormat="1">
      <c r="A91" s="8"/>
      <c r="B91" s="8"/>
      <c r="C91"/>
      <c r="D91"/>
      <c r="E91" s="43"/>
      <c r="F91" s="150"/>
      <c r="G91" s="43"/>
      <c r="H91" s="150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43"/>
      <c r="AF91" s="43"/>
      <c r="AG91" s="43"/>
      <c r="AH91" s="43"/>
      <c r="AI91" s="43"/>
      <c r="AJ91" s="43"/>
      <c r="AK91" s="43"/>
      <c r="AL91" s="43"/>
      <c r="AM91" s="43"/>
      <c r="AN91" s="43"/>
      <c r="AO91" s="43"/>
      <c r="AP91" s="43"/>
      <c r="AQ91" s="43"/>
      <c r="AR91" s="43"/>
      <c r="AS91" s="43"/>
      <c r="AT91" s="76"/>
      <c r="AU91" s="43"/>
      <c r="AV91" s="43"/>
      <c r="AW91" s="43"/>
      <c r="AX91" s="43"/>
      <c r="AY91" s="43"/>
      <c r="AZ91" s="44"/>
      <c r="BA91" s="44"/>
      <c r="BB91" s="44"/>
      <c r="BC91" s="44"/>
    </row>
    <row r="92" spans="1:55" s="9" customFormat="1" ht="17.5" thickBot="1">
      <c r="A92" s="8"/>
      <c r="B92" s="11" t="s">
        <v>814</v>
      </c>
      <c r="C92"/>
      <c r="D92"/>
      <c r="E92" s="43"/>
      <c r="F92" s="150"/>
      <c r="G92" s="43"/>
      <c r="H92" s="150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F92" s="43"/>
      <c r="AG92" s="43"/>
      <c r="AH92" s="43"/>
      <c r="AI92" s="43"/>
      <c r="AJ92" s="43"/>
      <c r="AK92" s="43"/>
      <c r="AL92" s="43"/>
      <c r="AM92" s="43"/>
      <c r="AN92" s="43"/>
      <c r="AO92" s="43"/>
      <c r="AP92" s="43"/>
      <c r="AQ92" s="43"/>
      <c r="AR92" s="43"/>
      <c r="AS92" s="43"/>
      <c r="AT92" s="76"/>
      <c r="AU92" s="43"/>
      <c r="AV92" s="43"/>
      <c r="AW92" s="43"/>
      <c r="AX92" s="43"/>
      <c r="AY92" s="43"/>
      <c r="AZ92" s="44"/>
      <c r="BA92" s="44"/>
      <c r="BB92" s="44"/>
      <c r="BC92" s="44"/>
    </row>
    <row r="93" spans="1:55" s="9" customFormat="1" ht="16.5" thickTop="1">
      <c r="A93" s="8"/>
      <c r="B93" s="8"/>
      <c r="C93"/>
      <c r="D93"/>
      <c r="E93" s="44" t="s">
        <v>420</v>
      </c>
      <c r="F93" s="150"/>
      <c r="G93" s="43"/>
      <c r="H93" s="150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  <c r="AF93" s="43"/>
      <c r="AG93" s="43"/>
      <c r="AH93" s="43"/>
      <c r="AI93" s="43"/>
      <c r="AJ93" s="43"/>
      <c r="AK93" s="43"/>
      <c r="AL93" s="43"/>
      <c r="AM93" s="43"/>
      <c r="AN93" s="43"/>
      <c r="AO93" s="43"/>
      <c r="AP93" s="43"/>
      <c r="AQ93" s="43"/>
      <c r="AR93" s="43"/>
      <c r="AS93" s="43"/>
      <c r="AT93" s="76"/>
      <c r="AU93" s="43"/>
      <c r="AV93" s="43"/>
      <c r="AW93" s="43"/>
      <c r="AX93" s="43"/>
      <c r="AY93" s="43"/>
      <c r="AZ93" s="44"/>
      <c r="BA93" s="44"/>
      <c r="BB93" s="44"/>
      <c r="BC93" s="44"/>
    </row>
    <row r="94" spans="1:55" s="9" customFormat="1">
      <c r="A94" s="8"/>
      <c r="B94" s="8"/>
      <c r="C94"/>
      <c r="D94"/>
      <c r="E94" s="43"/>
      <c r="F94" s="150"/>
      <c r="G94" s="43"/>
      <c r="H94" s="150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F94" s="43"/>
      <c r="AG94" s="43"/>
      <c r="AH94" s="43"/>
      <c r="AI94" s="43"/>
      <c r="AJ94" s="43"/>
      <c r="AK94" s="43"/>
      <c r="AL94" s="43"/>
      <c r="AM94" s="43"/>
      <c r="AN94" s="43"/>
      <c r="AO94" s="43"/>
      <c r="AP94" s="43"/>
      <c r="AQ94" s="43"/>
      <c r="AR94" s="43"/>
      <c r="AS94" s="43"/>
      <c r="AT94" s="76"/>
      <c r="AU94" s="43"/>
      <c r="AV94" s="43"/>
      <c r="AW94" s="43"/>
      <c r="AX94" s="43"/>
      <c r="AY94" s="43"/>
      <c r="AZ94" s="44"/>
      <c r="BA94" s="44"/>
      <c r="BB94" s="44"/>
      <c r="BC94" s="44"/>
    </row>
    <row r="95" spans="1:55" s="9" customFormat="1" ht="20" thickBot="1">
      <c r="A95" s="10" t="s">
        <v>23</v>
      </c>
      <c r="B95" s="8"/>
      <c r="C95"/>
      <c r="D95"/>
      <c r="E95" s="43"/>
      <c r="F95" s="150"/>
      <c r="G95" s="43"/>
      <c r="H95" s="150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F95" s="43"/>
      <c r="AG95" s="43"/>
      <c r="AH95" s="43"/>
      <c r="AI95" s="43"/>
      <c r="AJ95" s="43"/>
      <c r="AK95" s="43"/>
      <c r="AL95" s="43"/>
      <c r="AM95" s="43"/>
      <c r="AN95" s="43"/>
      <c r="AO95" s="43"/>
      <c r="AP95" s="43"/>
      <c r="AQ95" s="43"/>
      <c r="AR95" s="43"/>
      <c r="AS95" s="43"/>
      <c r="AT95" s="76"/>
      <c r="AU95" s="43"/>
      <c r="AV95" s="43"/>
      <c r="AW95" s="43"/>
      <c r="AX95" s="43"/>
      <c r="AY95" s="43"/>
      <c r="AZ95" s="44"/>
      <c r="BA95" s="44"/>
      <c r="BB95" s="44"/>
    </row>
    <row r="96" spans="1:55" s="9" customFormat="1" ht="18" thickTop="1" thickBot="1">
      <c r="A96" s="8"/>
      <c r="B96" s="11" t="s">
        <v>116</v>
      </c>
      <c r="C96"/>
      <c r="D96"/>
      <c r="E96" s="43"/>
      <c r="F96" s="150"/>
      <c r="G96" s="43"/>
      <c r="H96" s="150"/>
      <c r="I96" s="43"/>
      <c r="J96" s="43"/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  <c r="AF96" s="43"/>
      <c r="AG96" s="43"/>
      <c r="AH96" s="43"/>
      <c r="AI96" s="43"/>
      <c r="AJ96" s="43"/>
      <c r="AK96" s="43"/>
      <c r="AL96" s="43"/>
      <c r="AM96" s="43"/>
      <c r="AN96" s="43"/>
      <c r="AO96" s="43"/>
      <c r="AP96" s="43"/>
      <c r="AQ96" s="43"/>
      <c r="AR96" s="43"/>
      <c r="AS96" s="43"/>
      <c r="AT96" s="76"/>
      <c r="AU96" s="43"/>
      <c r="AV96" s="43"/>
      <c r="AW96" s="43"/>
      <c r="AX96" s="43"/>
      <c r="AY96" s="43"/>
      <c r="AZ96" s="44"/>
      <c r="BA96" s="44"/>
      <c r="BB96" s="44"/>
    </row>
    <row r="97" spans="2:55" customFormat="1" ht="15" thickTop="1">
      <c r="E97" s="44" t="s">
        <v>420</v>
      </c>
      <c r="F97" s="151"/>
      <c r="H97" s="151"/>
      <c r="AT97" s="77"/>
      <c r="BA97" s="44"/>
    </row>
    <row r="98" spans="2:55" customFormat="1" ht="14.5">
      <c r="E98" s="1"/>
      <c r="F98" s="151"/>
      <c r="H98" s="151"/>
      <c r="AT98" s="77"/>
      <c r="BA98" s="44"/>
    </row>
    <row r="99" spans="2:55" customFormat="1" ht="17.5" thickBot="1">
      <c r="B99" s="11" t="s">
        <v>121</v>
      </c>
      <c r="E99" s="1"/>
      <c r="F99" s="151"/>
      <c r="H99" s="151"/>
      <c r="AT99" s="77"/>
      <c r="BA99" s="44"/>
    </row>
    <row r="100" spans="2:55" customFormat="1" ht="15" thickTop="1">
      <c r="E100" s="44" t="s">
        <v>420</v>
      </c>
      <c r="F100" s="151"/>
      <c r="H100" s="151"/>
      <c r="AT100" s="77"/>
      <c r="BA100" s="44"/>
    </row>
    <row r="101" spans="2:55" customFormat="1" ht="17.5" thickBot="1">
      <c r="B101" s="11" t="s">
        <v>122</v>
      </c>
      <c r="E101" s="1"/>
      <c r="F101" s="151"/>
      <c r="H101" s="151"/>
      <c r="AT101" s="77"/>
      <c r="BA101" s="44"/>
    </row>
    <row r="102" spans="2:55" customFormat="1" ht="15" thickTop="1">
      <c r="E102" s="44" t="s">
        <v>420</v>
      </c>
      <c r="F102" s="151"/>
      <c r="H102" s="151"/>
      <c r="AT102" s="77"/>
      <c r="BA102" s="44"/>
    </row>
    <row r="103" spans="2:55" customFormat="1" ht="17.5" thickBot="1">
      <c r="B103" s="11" t="s">
        <v>123</v>
      </c>
      <c r="E103" s="1"/>
      <c r="F103" s="151"/>
      <c r="H103" s="151"/>
      <c r="AT103" s="77"/>
      <c r="BA103" s="44"/>
    </row>
    <row r="104" spans="2:55" customFormat="1" ht="15" thickTop="1">
      <c r="E104" s="44" t="s">
        <v>420</v>
      </c>
      <c r="F104" s="151"/>
      <c r="H104" s="151"/>
      <c r="AT104" s="77"/>
      <c r="BA104" s="44"/>
    </row>
    <row r="105" spans="2:55" customFormat="1" ht="17.5" thickBot="1">
      <c r="B105" s="11" t="s">
        <v>392</v>
      </c>
      <c r="E105" s="1"/>
      <c r="F105" s="151"/>
      <c r="H105" s="151"/>
      <c r="AT105" s="77"/>
      <c r="BA105" s="44"/>
    </row>
    <row r="106" spans="2:55" customFormat="1" ht="15" thickTop="1">
      <c r="E106" s="44" t="s">
        <v>420</v>
      </c>
      <c r="F106" s="151"/>
      <c r="H106" s="151"/>
      <c r="AT106" s="77"/>
      <c r="BA106" s="44"/>
    </row>
    <row r="107" spans="2:55" s="9" customFormat="1">
      <c r="B107" s="8"/>
      <c r="C107"/>
      <c r="D107"/>
      <c r="E107" s="43"/>
      <c r="F107" s="150"/>
      <c r="G107" s="43"/>
      <c r="H107" s="150"/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F107" s="43"/>
      <c r="AG107" s="43"/>
      <c r="AH107" s="43"/>
      <c r="AI107" s="43"/>
      <c r="AJ107" s="43"/>
      <c r="AK107" s="43"/>
      <c r="AL107" s="43"/>
      <c r="AM107" s="43"/>
      <c r="AN107" s="43"/>
      <c r="AO107" s="43"/>
      <c r="AP107" s="43"/>
      <c r="AQ107" s="43"/>
      <c r="AR107" s="43"/>
      <c r="AS107" s="43"/>
      <c r="AT107" s="76"/>
      <c r="AU107" s="43"/>
      <c r="AV107" s="43"/>
      <c r="AW107" s="43"/>
      <c r="AX107" s="43"/>
      <c r="AY107" s="43"/>
      <c r="AZ107" s="44"/>
      <c r="BA107" s="44"/>
      <c r="BB107" s="44"/>
    </row>
    <row r="108" spans="2:55" s="9" customFormat="1" ht="17.5" thickBot="1">
      <c r="B108" s="11" t="s">
        <v>133</v>
      </c>
      <c r="C108"/>
      <c r="D108"/>
      <c r="E108" s="43"/>
      <c r="F108" s="150"/>
      <c r="G108" s="43"/>
      <c r="H108" s="150"/>
      <c r="I108" s="43"/>
      <c r="J108" s="43"/>
      <c r="K108" s="43"/>
      <c r="L108" s="43"/>
      <c r="M108" s="43"/>
      <c r="N108" s="43"/>
      <c r="O108" s="43"/>
      <c r="P108" s="43"/>
      <c r="Q108" s="43"/>
      <c r="R108" s="43"/>
      <c r="S108" s="43"/>
      <c r="T108" s="43"/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F108" s="43"/>
      <c r="AG108" s="43"/>
      <c r="AH108" s="43"/>
      <c r="AI108" s="43"/>
      <c r="AJ108" s="43"/>
      <c r="AK108" s="43"/>
      <c r="AL108" s="43"/>
      <c r="AM108" s="43"/>
      <c r="AN108" s="43"/>
      <c r="AO108" s="43"/>
      <c r="AP108" s="43"/>
      <c r="AQ108" s="43"/>
      <c r="AR108" s="43"/>
      <c r="AS108" s="43"/>
      <c r="AT108" s="76"/>
      <c r="AU108" s="177"/>
      <c r="AV108"/>
      <c r="AW108"/>
      <c r="AX108"/>
      <c r="AY108"/>
      <c r="AZ108" s="44"/>
      <c r="BA108" s="44"/>
      <c r="BB108" s="44"/>
    </row>
    <row r="109" spans="2:55" s="9" customFormat="1" ht="16.5" thickTop="1">
      <c r="B109" s="8"/>
      <c r="C109"/>
      <c r="D109"/>
      <c r="E109" s="44" t="s">
        <v>420</v>
      </c>
      <c r="F109" s="150"/>
      <c r="G109" s="43"/>
      <c r="H109" s="150"/>
      <c r="I109" s="43"/>
      <c r="J109" s="43"/>
      <c r="K109" s="43"/>
      <c r="L109" s="43"/>
      <c r="M109" s="43"/>
      <c r="N109" s="43"/>
      <c r="O109" s="43"/>
      <c r="P109" s="43"/>
      <c r="Q109" s="43"/>
      <c r="R109" s="43"/>
      <c r="S109" s="43"/>
      <c r="T109" s="43"/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/>
      <c r="AF109" s="43"/>
      <c r="AG109" s="43"/>
      <c r="AH109" s="43"/>
      <c r="AI109" s="43"/>
      <c r="AJ109" s="43"/>
      <c r="AK109" s="43"/>
      <c r="AL109" s="43"/>
      <c r="AM109" s="43"/>
      <c r="AN109" s="43"/>
      <c r="AO109" s="43"/>
      <c r="AP109" s="43"/>
      <c r="AQ109" s="43"/>
      <c r="AR109" s="43"/>
      <c r="AS109" s="43"/>
      <c r="AT109" s="76"/>
      <c r="AU109" s="177"/>
      <c r="AV109"/>
      <c r="AW109"/>
      <c r="AX109"/>
      <c r="AY109"/>
      <c r="AZ109" s="44"/>
      <c r="BA109" s="44"/>
      <c r="BB109" s="44"/>
    </row>
    <row r="110" spans="2:55" s="9" customFormat="1">
      <c r="B110" s="8"/>
      <c r="C110"/>
      <c r="D110"/>
      <c r="E110" s="43"/>
      <c r="F110" s="150"/>
      <c r="G110" s="43"/>
      <c r="H110" s="150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F110" s="43"/>
      <c r="AG110" s="43"/>
      <c r="AH110" s="43"/>
      <c r="AI110" s="43"/>
      <c r="AJ110" s="43"/>
      <c r="AK110" s="43"/>
      <c r="AL110" s="43"/>
      <c r="AM110" s="43"/>
      <c r="AN110" s="43"/>
      <c r="AO110" s="43"/>
      <c r="AP110" s="43"/>
      <c r="AQ110" s="43"/>
      <c r="AR110" s="43"/>
      <c r="AS110" s="43"/>
      <c r="AT110" s="76"/>
      <c r="AU110" s="43"/>
      <c r="AV110" s="43"/>
      <c r="AW110" s="43"/>
      <c r="AX110" s="43"/>
      <c r="AY110" s="43"/>
      <c r="AZ110" s="44"/>
      <c r="BA110" s="44"/>
      <c r="BB110" s="44"/>
    </row>
    <row r="111" spans="2:55" s="9" customFormat="1" ht="17.5" thickBot="1">
      <c r="B111" s="11" t="s">
        <v>131</v>
      </c>
      <c r="C111"/>
      <c r="D111"/>
      <c r="E111" s="43"/>
      <c r="F111" s="150"/>
      <c r="G111" s="43"/>
      <c r="H111" s="150"/>
      <c r="I111" s="43"/>
      <c r="J111" s="43"/>
      <c r="K111" s="43"/>
      <c r="L111" s="43"/>
      <c r="M111" s="43"/>
      <c r="N111" s="43"/>
      <c r="O111" s="43"/>
      <c r="P111" s="43"/>
      <c r="Q111" s="43"/>
      <c r="R111" s="43"/>
      <c r="S111" s="43"/>
      <c r="T111" s="43"/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F111" s="43"/>
      <c r="AG111" s="43"/>
      <c r="AH111" s="43"/>
      <c r="AI111" s="43"/>
      <c r="AJ111" s="43"/>
      <c r="AK111" s="43"/>
      <c r="AL111" s="43"/>
      <c r="AM111" s="43"/>
      <c r="AN111" s="43"/>
      <c r="AO111" s="43"/>
      <c r="AP111" s="43"/>
      <c r="AQ111" s="43"/>
      <c r="AR111" s="43"/>
      <c r="AS111" s="43"/>
      <c r="AT111" s="76"/>
      <c r="AU111" s="43"/>
      <c r="AV111" s="43"/>
      <c r="AW111" s="43"/>
      <c r="AX111" s="43"/>
      <c r="AY111" s="43"/>
      <c r="AZ111" s="44"/>
      <c r="BA111" s="44"/>
      <c r="BB111" s="44"/>
    </row>
    <row r="112" spans="2:55" s="9" customFormat="1" ht="17" thickTop="1">
      <c r="B112" s="8"/>
      <c r="C112"/>
      <c r="D112"/>
      <c r="E112" s="43" t="s">
        <v>24</v>
      </c>
      <c r="F112" s="150">
        <f>NGT_SO!F45</f>
        <v>0</v>
      </c>
      <c r="G112" s="43" t="str">
        <f t="shared" ref="G112:G114" si="26">nominal</f>
        <v>£m nominal</v>
      </c>
      <c r="H112" s="48" t="s">
        <v>1028</v>
      </c>
      <c r="I112" s="43"/>
      <c r="J112" s="43"/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F112" s="43"/>
      <c r="AG112" s="43"/>
      <c r="AH112" s="43"/>
      <c r="AI112" s="43"/>
      <c r="AJ112" s="43"/>
      <c r="AK112" s="43"/>
      <c r="AL112" s="43"/>
      <c r="AM112" s="43"/>
      <c r="AN112" s="43"/>
      <c r="AO112" s="43"/>
      <c r="AP112" s="43"/>
      <c r="AQ112" s="43"/>
      <c r="AR112" s="43"/>
      <c r="AS112" s="43"/>
      <c r="AT112" s="76"/>
      <c r="AU112" s="174">
        <f>NGT_SO!AU45</f>
        <v>0</v>
      </c>
      <c r="AV112" s="50">
        <f>NGT_SO!AV45</f>
        <v>0</v>
      </c>
      <c r="AW112" s="50">
        <f>NGT_SO!AW45</f>
        <v>0</v>
      </c>
      <c r="AX112" s="50">
        <f>NGT_SO!AX45</f>
        <v>0</v>
      </c>
      <c r="AY112" s="50">
        <f>NGT_SO!AY45</f>
        <v>0</v>
      </c>
      <c r="AZ112" s="44"/>
      <c r="BA112" s="44" t="str">
        <f ca="1">$A$1</f>
        <v>Transform_SO</v>
      </c>
      <c r="BB112" s="44" t="str">
        <f>$A$95</f>
        <v>Finance inputs</v>
      </c>
      <c r="BC112" s="44" t="str">
        <f>$B$111</f>
        <v>Tax allowance</v>
      </c>
    </row>
    <row r="113" spans="1:55" s="9" customFormat="1" ht="16.5">
      <c r="B113" s="8"/>
      <c r="C113"/>
      <c r="D113"/>
      <c r="E113" s="43" t="s">
        <v>25</v>
      </c>
      <c r="F113" s="150">
        <f>NGT_SO!F46</f>
        <v>0</v>
      </c>
      <c r="G113" s="43" t="str">
        <f t="shared" si="26"/>
        <v>£m nominal</v>
      </c>
      <c r="H113" s="48" t="s">
        <v>1029</v>
      </c>
      <c r="I113" s="43"/>
      <c r="J113" s="43"/>
      <c r="K113" s="43"/>
      <c r="L113" s="43"/>
      <c r="M113" s="43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F113" s="43"/>
      <c r="AG113" s="43"/>
      <c r="AH113" s="43"/>
      <c r="AI113" s="43"/>
      <c r="AJ113" s="43"/>
      <c r="AK113" s="43"/>
      <c r="AL113" s="43"/>
      <c r="AM113" s="43"/>
      <c r="AN113" s="43"/>
      <c r="AO113" s="43"/>
      <c r="AP113" s="43"/>
      <c r="AQ113" s="43"/>
      <c r="AR113" s="43"/>
      <c r="AS113" s="43"/>
      <c r="AT113" s="76"/>
      <c r="AU113" s="174">
        <f>NGT_SO!AU46</f>
        <v>0</v>
      </c>
      <c r="AV113" s="50">
        <f>NGT_SO!AV46</f>
        <v>0</v>
      </c>
      <c r="AW113" s="50">
        <f>NGT_SO!AW46</f>
        <v>0</v>
      </c>
      <c r="AX113" s="50">
        <f>NGT_SO!AX46</f>
        <v>0</v>
      </c>
      <c r="AY113" s="50">
        <f>NGT_SO!AY46</f>
        <v>0</v>
      </c>
      <c r="AZ113" s="44"/>
      <c r="BA113" s="44" t="str">
        <f ca="1">$A$1</f>
        <v>Transform_SO</v>
      </c>
      <c r="BB113" s="44" t="str">
        <f t="shared" ref="BB113:BB116" si="27">$A$95</f>
        <v>Finance inputs</v>
      </c>
      <c r="BC113" s="44" t="str">
        <f>$B$111</f>
        <v>Tax allowance</v>
      </c>
    </row>
    <row r="114" spans="1:55" s="9" customFormat="1" ht="16.5">
      <c r="B114" s="8"/>
      <c r="C114"/>
      <c r="D114"/>
      <c r="E114" s="43" t="s">
        <v>26</v>
      </c>
      <c r="F114" s="150" t="str">
        <f>NGT_SO!F47</f>
        <v>SpC 2.4</v>
      </c>
      <c r="G114" s="43" t="str">
        <f t="shared" si="26"/>
        <v>£m nominal</v>
      </c>
      <c r="H114" s="48" t="s">
        <v>1073</v>
      </c>
      <c r="I114" s="43"/>
      <c r="J114" s="43"/>
      <c r="K114" s="43"/>
      <c r="L114" s="43"/>
      <c r="M114" s="43"/>
      <c r="N114" s="43"/>
      <c r="O114" s="43"/>
      <c r="P114" s="43"/>
      <c r="Q114" s="43"/>
      <c r="R114" s="43"/>
      <c r="S114" s="43"/>
      <c r="T114" s="43"/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F114" s="43"/>
      <c r="AG114" s="43"/>
      <c r="AH114" s="43"/>
      <c r="AI114" s="43"/>
      <c r="AJ114" s="43"/>
      <c r="AK114" s="43"/>
      <c r="AL114" s="43"/>
      <c r="AM114" s="43"/>
      <c r="AN114" s="43"/>
      <c r="AO114" s="43"/>
      <c r="AP114" s="43"/>
      <c r="AQ114" s="43"/>
      <c r="AR114" s="43"/>
      <c r="AS114" s="43"/>
      <c r="AT114" s="76"/>
      <c r="AU114" s="174">
        <f>NGT_SO!AU47</f>
        <v>0</v>
      </c>
      <c r="AV114" s="50">
        <f>NGT_SO!AV47</f>
        <v>0</v>
      </c>
      <c r="AW114" s="50">
        <f>NGT_SO!AW47</f>
        <v>0</v>
      </c>
      <c r="AX114" s="50">
        <f>NGT_SO!AX47</f>
        <v>0</v>
      </c>
      <c r="AY114" s="50">
        <f>NGT_SO!AY47</f>
        <v>0</v>
      </c>
      <c r="AZ114" s="44"/>
      <c r="BA114" s="44" t="str">
        <f ca="1">$A$1</f>
        <v>Transform_SO</v>
      </c>
      <c r="BB114" s="44" t="str">
        <f t="shared" si="27"/>
        <v>Finance inputs</v>
      </c>
      <c r="BC114" s="44" t="str">
        <f>$B$111</f>
        <v>Tax allowance</v>
      </c>
    </row>
    <row r="115" spans="1:55" s="9" customFormat="1" ht="16.5">
      <c r="B115" s="8"/>
      <c r="C115"/>
      <c r="D115"/>
      <c r="E115" s="43" t="s">
        <v>28</v>
      </c>
      <c r="F115" s="150">
        <f>NGT_SO!F48</f>
        <v>0</v>
      </c>
      <c r="G115" s="43" t="str">
        <f>price_label</f>
        <v>£m 23/24 prices</v>
      </c>
      <c r="H115" s="48" t="s">
        <v>1074</v>
      </c>
      <c r="I115" s="43"/>
      <c r="J115" s="43"/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43"/>
      <c r="AF115" s="43"/>
      <c r="AG115" s="43"/>
      <c r="AH115" s="43"/>
      <c r="AI115" s="43"/>
      <c r="AJ115" s="43"/>
      <c r="AK115" s="43"/>
      <c r="AL115" s="43"/>
      <c r="AM115" s="43"/>
      <c r="AN115" s="43"/>
      <c r="AO115" s="43"/>
      <c r="AP115" s="43"/>
      <c r="AQ115" s="43"/>
      <c r="AR115" s="43"/>
      <c r="AS115" s="43"/>
      <c r="AT115" s="76"/>
      <c r="AU115" s="174">
        <f>NGT_SO!AU48</f>
        <v>0</v>
      </c>
      <c r="AV115" s="50">
        <f>NGT_SO!AV48</f>
        <v>0</v>
      </c>
      <c r="AW115" s="50">
        <f>NGT_SO!AW48</f>
        <v>0</v>
      </c>
      <c r="AX115" s="50">
        <f>NGT_SO!AX48</f>
        <v>0</v>
      </c>
      <c r="AY115" s="50">
        <f>NGT_SO!AY48</f>
        <v>0</v>
      </c>
      <c r="AZ115" s="44"/>
      <c r="BA115" s="44" t="str">
        <f ca="1">$A$1</f>
        <v>Transform_SO</v>
      </c>
      <c r="BB115" s="44" t="str">
        <f t="shared" si="27"/>
        <v>Finance inputs</v>
      </c>
      <c r="BC115" s="44" t="str">
        <f>$B$111</f>
        <v>Tax allowance</v>
      </c>
    </row>
    <row r="116" spans="1:55" s="9" customFormat="1" ht="16.5">
      <c r="A116" s="8"/>
      <c r="B116" s="8"/>
      <c r="C116"/>
      <c r="D116"/>
      <c r="E116" s="43" t="s">
        <v>31</v>
      </c>
      <c r="F116" s="150" t="str">
        <f>NGT_SO!F57</f>
        <v>SpC 7.8</v>
      </c>
      <c r="G116" s="43" t="str">
        <f t="shared" si="23"/>
        <v>£m nominal</v>
      </c>
      <c r="H116" s="48" t="s">
        <v>1083</v>
      </c>
      <c r="I116" s="43"/>
      <c r="J116" s="43"/>
      <c r="K116" s="43"/>
      <c r="L116" s="43"/>
      <c r="M116" s="43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F116" s="43"/>
      <c r="AG116" s="43"/>
      <c r="AH116" s="43"/>
      <c r="AI116" s="43"/>
      <c r="AJ116" s="43"/>
      <c r="AK116" s="43"/>
      <c r="AL116" s="43"/>
      <c r="AM116" s="43"/>
      <c r="AN116" s="43"/>
      <c r="AO116" s="43"/>
      <c r="AP116" s="43"/>
      <c r="AQ116" s="43"/>
      <c r="AR116" s="43"/>
      <c r="AS116" s="43"/>
      <c r="AT116" s="76"/>
      <c r="AU116" s="174">
        <f>NGT_SO!AU57</f>
        <v>0</v>
      </c>
      <c r="AV116"/>
      <c r="AW116"/>
      <c r="AX116"/>
      <c r="AY116"/>
      <c r="AZ116" s="44"/>
      <c r="BA116" s="44" t="str">
        <f t="shared" ca="1" si="20"/>
        <v>Transform_SO</v>
      </c>
      <c r="BB116" s="44" t="str">
        <f t="shared" si="27"/>
        <v>Finance inputs</v>
      </c>
      <c r="BC116" s="44" t="str">
        <f>$B$111</f>
        <v>Tax allowance</v>
      </c>
    </row>
    <row r="117" spans="1:55"/>
    <row r="118" spans="1:55" s="9" customFormat="1">
      <c r="A118" s="8"/>
      <c r="B118" s="8"/>
      <c r="C118"/>
      <c r="D118"/>
      <c r="E118" s="43" t="s">
        <v>67</v>
      </c>
      <c r="F118" s="150">
        <f>NGT_SO!F168</f>
        <v>0</v>
      </c>
      <c r="G118" s="43" t="s">
        <v>33</v>
      </c>
      <c r="H118" s="150"/>
      <c r="I118" s="43"/>
      <c r="J118" s="43"/>
      <c r="K118" s="43"/>
      <c r="L118" s="43"/>
      <c r="M118" s="43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  <c r="AA118" s="43"/>
      <c r="AB118" s="43"/>
      <c r="AC118" s="43"/>
      <c r="AD118" s="43"/>
      <c r="AE118" s="43"/>
      <c r="AF118" s="43"/>
      <c r="AG118" s="43"/>
      <c r="AH118" s="43"/>
      <c r="AI118" s="43"/>
      <c r="AJ118" s="43"/>
      <c r="AK118" s="43"/>
      <c r="AL118" s="43"/>
      <c r="AM118" s="43"/>
      <c r="AN118" s="43"/>
      <c r="AO118" s="43"/>
      <c r="AP118" s="43"/>
      <c r="AQ118" s="43"/>
      <c r="AR118" s="43"/>
      <c r="AS118" s="43"/>
      <c r="AT118" s="76"/>
      <c r="AU118" s="175">
        <f>NGT_SO!AU168</f>
        <v>0.6</v>
      </c>
      <c r="AV118" s="56">
        <f>NGT_SO!AV168</f>
        <v>0.6</v>
      </c>
      <c r="AW118" s="56">
        <f>NGT_SO!AW168</f>
        <v>0.6</v>
      </c>
      <c r="AX118" s="56">
        <f>NGT_SO!AX168</f>
        <v>0.6</v>
      </c>
      <c r="AY118" s="56">
        <f>NGT_SO!AY168</f>
        <v>0.6</v>
      </c>
      <c r="AZ118" s="44"/>
      <c r="BA118" s="44" t="str">
        <f ca="1">$A$1</f>
        <v>Transform_SO</v>
      </c>
      <c r="BB118" s="44" t="str">
        <f t="shared" ref="BB118:BB119" si="28">$A$95</f>
        <v>Finance inputs</v>
      </c>
      <c r="BC118" s="44" t="str">
        <f>$B$111</f>
        <v>Tax allowance</v>
      </c>
    </row>
    <row r="119" spans="1:55" s="9" customFormat="1">
      <c r="A119" s="8"/>
      <c r="B119" s="8"/>
      <c r="C119"/>
      <c r="D119"/>
      <c r="E119" s="43" t="s">
        <v>68</v>
      </c>
      <c r="F119" s="150">
        <f>NGT_SO!F138</f>
        <v>0</v>
      </c>
      <c r="G119" s="43" t="str">
        <f>price_label</f>
        <v>£m 23/24 prices</v>
      </c>
      <c r="H119" s="150"/>
      <c r="I119" s="43"/>
      <c r="J119" s="43"/>
      <c r="K119" s="43"/>
      <c r="L119" s="43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F119" s="43"/>
      <c r="AG119" s="43"/>
      <c r="AH119" s="43"/>
      <c r="AI119" s="43"/>
      <c r="AJ119" s="43"/>
      <c r="AK119" s="43"/>
      <c r="AL119" s="43"/>
      <c r="AM119" s="43"/>
      <c r="AN119" s="43"/>
      <c r="AO119" s="43"/>
      <c r="AP119" s="43"/>
      <c r="AQ119" s="43"/>
      <c r="AR119" s="43"/>
      <c r="AS119" s="43"/>
      <c r="AT119" s="76"/>
      <c r="AU119" s="174">
        <f>NGT_SO!AU138</f>
        <v>0.56486029875569144</v>
      </c>
      <c r="AV119" s="50">
        <f>NGT_SO!AV138</f>
        <v>0.59784612311514829</v>
      </c>
      <c r="AW119" s="50">
        <f>NGT_SO!AW138</f>
        <v>0.58184657618466684</v>
      </c>
      <c r="AX119" s="50">
        <f>NGT_SO!AX138</f>
        <v>0.53015029963199412</v>
      </c>
      <c r="AY119" s="50">
        <f>NGT_SO!AY138</f>
        <v>0.52199747355478721</v>
      </c>
      <c r="AZ119" s="44"/>
      <c r="BA119" s="44" t="str">
        <f ca="1">$A$1</f>
        <v>Transform_SO</v>
      </c>
      <c r="BB119" s="44" t="str">
        <f t="shared" si="28"/>
        <v>Finance inputs</v>
      </c>
      <c r="BC119" s="44" t="str">
        <f>$B$111</f>
        <v>Tax allowance</v>
      </c>
    </row>
    <row r="120" spans="1:55" s="9" customFormat="1">
      <c r="A120" s="8"/>
      <c r="B120" s="8"/>
      <c r="C120"/>
      <c r="D120"/>
      <c r="E120" s="43"/>
      <c r="F120" s="150"/>
      <c r="G120" s="43"/>
      <c r="H120" s="150"/>
      <c r="I120" s="43"/>
      <c r="J120" s="43"/>
      <c r="K120" s="43"/>
      <c r="L120" s="43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  <c r="AA120" s="43"/>
      <c r="AB120" s="43"/>
      <c r="AC120" s="43"/>
      <c r="AD120" s="43"/>
      <c r="AE120" s="43"/>
      <c r="AF120" s="43"/>
      <c r="AG120" s="43"/>
      <c r="AH120" s="43"/>
      <c r="AI120" s="43"/>
      <c r="AJ120" s="43"/>
      <c r="AK120" s="43"/>
      <c r="AL120" s="43"/>
      <c r="AM120" s="43"/>
      <c r="AN120" s="43"/>
      <c r="AO120" s="43"/>
      <c r="AP120" s="43"/>
      <c r="AQ120" s="43"/>
      <c r="AR120" s="43"/>
      <c r="AS120" s="43"/>
      <c r="AT120" s="76"/>
      <c r="AU120" s="43"/>
      <c r="AV120" s="43"/>
      <c r="AW120" s="43"/>
      <c r="AX120" s="43"/>
      <c r="AY120" s="43"/>
      <c r="AZ120" s="44"/>
      <c r="BA120" s="44"/>
      <c r="BB120" s="44"/>
    </row>
    <row r="121" spans="1:55" s="9" customFormat="1" ht="16.5" thickBot="1">
      <c r="A121" s="8"/>
      <c r="B121" s="8"/>
      <c r="C121" s="14" t="s">
        <v>393</v>
      </c>
      <c r="D121"/>
      <c r="E121" s="43"/>
      <c r="F121" s="150"/>
      <c r="G121" s="43"/>
      <c r="H121" s="150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3"/>
      <c r="AJ121" s="43"/>
      <c r="AK121" s="43"/>
      <c r="AL121" s="43"/>
      <c r="AM121" s="43"/>
      <c r="AN121" s="43"/>
      <c r="AO121" s="43"/>
      <c r="AP121" s="43"/>
      <c r="AQ121" s="43"/>
      <c r="AR121" s="43"/>
      <c r="AS121" s="43"/>
      <c r="AT121" s="76"/>
      <c r="AU121" s="43"/>
      <c r="AV121" s="43"/>
      <c r="AW121" s="43"/>
      <c r="AX121" s="43"/>
      <c r="AY121" s="43"/>
      <c r="AZ121" s="44"/>
      <c r="BA121" s="44"/>
      <c r="BB121" s="44"/>
    </row>
    <row r="122" spans="1:55" s="9" customFormat="1">
      <c r="A122" s="8"/>
      <c r="B122" s="8"/>
      <c r="C122"/>
      <c r="D122"/>
      <c r="E122" s="44" t="s">
        <v>420</v>
      </c>
      <c r="F122" s="150"/>
      <c r="G122" s="43"/>
      <c r="H122" s="150"/>
      <c r="I122" s="43"/>
      <c r="J122" s="43"/>
      <c r="K122" s="43"/>
      <c r="L122" s="43"/>
      <c r="M122" s="43"/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  <c r="AA122" s="43"/>
      <c r="AB122" s="43"/>
      <c r="AC122" s="43"/>
      <c r="AD122" s="43"/>
      <c r="AE122" s="43"/>
      <c r="AF122" s="43"/>
      <c r="AG122" s="43"/>
      <c r="AH122" s="43"/>
      <c r="AI122" s="43"/>
      <c r="AJ122" s="43"/>
      <c r="AK122" s="43"/>
      <c r="AL122" s="43"/>
      <c r="AM122" s="43"/>
      <c r="AN122" s="43"/>
      <c r="AO122" s="43"/>
      <c r="AP122" s="43"/>
      <c r="AQ122" s="43"/>
      <c r="AR122" s="43"/>
      <c r="AS122" s="43"/>
      <c r="AT122" s="76"/>
      <c r="AU122" s="43"/>
      <c r="AV122" s="43"/>
      <c r="AW122" s="43"/>
      <c r="AX122" s="43"/>
      <c r="AY122" s="43"/>
      <c r="AZ122" s="44"/>
      <c r="BA122" s="44"/>
      <c r="BB122" s="44"/>
    </row>
    <row r="123" spans="1:55" s="9" customFormat="1">
      <c r="A123" s="8"/>
      <c r="B123" s="8"/>
      <c r="C123"/>
      <c r="D123"/>
      <c r="E123" s="43"/>
      <c r="F123" s="150"/>
      <c r="G123" s="43"/>
      <c r="H123" s="150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F123" s="43"/>
      <c r="AG123" s="43"/>
      <c r="AH123" s="43"/>
      <c r="AI123" s="43"/>
      <c r="AJ123" s="43"/>
      <c r="AK123" s="43"/>
      <c r="AL123" s="43"/>
      <c r="AM123" s="43"/>
      <c r="AN123" s="43"/>
      <c r="AO123" s="43"/>
      <c r="AP123" s="43"/>
      <c r="AQ123" s="43"/>
      <c r="AR123" s="43"/>
      <c r="AS123" s="43"/>
      <c r="AT123" s="76"/>
      <c r="AU123" s="43"/>
      <c r="AV123" s="43"/>
      <c r="AW123" s="43"/>
      <c r="AX123" s="43"/>
      <c r="AY123" s="43"/>
      <c r="AZ123" s="44"/>
      <c r="BA123" s="44"/>
      <c r="BB123" s="44"/>
    </row>
    <row r="124" spans="1:55" s="9" customFormat="1" ht="20" thickBot="1">
      <c r="A124" s="10" t="s">
        <v>20</v>
      </c>
      <c r="B124" s="8"/>
      <c r="C124"/>
      <c r="D124"/>
      <c r="E124" s="43"/>
      <c r="F124" s="150"/>
      <c r="G124" s="43"/>
      <c r="H124" s="150"/>
      <c r="I124" s="43"/>
      <c r="J124" s="43"/>
      <c r="K124" s="43"/>
      <c r="L124" s="43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F124" s="43"/>
      <c r="AG124" s="43"/>
      <c r="AH124" s="43"/>
      <c r="AI124" s="43"/>
      <c r="AJ124" s="43"/>
      <c r="AK124" s="43"/>
      <c r="AL124" s="43"/>
      <c r="AM124" s="43"/>
      <c r="AN124" s="43"/>
      <c r="AO124" s="43"/>
      <c r="AP124" s="43"/>
      <c r="AQ124" s="43"/>
      <c r="AR124" s="43"/>
      <c r="AS124" s="43"/>
      <c r="AT124" s="76"/>
      <c r="AU124" s="43"/>
      <c r="AV124" s="43"/>
      <c r="AW124" s="43"/>
      <c r="AX124" s="43"/>
      <c r="AY124" s="43"/>
      <c r="AZ124" s="44"/>
      <c r="BA124" s="44"/>
      <c r="BB124" s="44"/>
    </row>
    <row r="125" spans="1:55" s="9" customFormat="1" ht="18" thickTop="1" thickBot="1">
      <c r="A125" s="8"/>
      <c r="B125" s="11" t="s">
        <v>132</v>
      </c>
      <c r="C125"/>
      <c r="D125"/>
      <c r="E125" s="43"/>
      <c r="F125" s="150"/>
      <c r="G125" s="43"/>
      <c r="H125" s="150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F125" s="43"/>
      <c r="AG125" s="43"/>
      <c r="AH125" s="43"/>
      <c r="AI125" s="43"/>
      <c r="AJ125" s="43"/>
      <c r="AK125" s="43"/>
      <c r="AL125" s="43"/>
      <c r="AM125" s="43"/>
      <c r="AN125" s="43"/>
      <c r="AO125" s="43"/>
      <c r="AP125" s="43"/>
      <c r="AQ125" s="43"/>
      <c r="AR125" s="43"/>
      <c r="AS125" s="43"/>
      <c r="AT125" s="76"/>
      <c r="AU125" s="43"/>
      <c r="AV125" s="43"/>
      <c r="AW125" s="43"/>
      <c r="AX125" s="43"/>
      <c r="AY125" s="43"/>
      <c r="AZ125" s="44"/>
      <c r="BA125" s="44"/>
      <c r="BB125" s="44"/>
    </row>
    <row r="126" spans="1:55" s="9" customFormat="1" ht="17" thickTop="1">
      <c r="A126" s="8"/>
      <c r="B126" s="8"/>
      <c r="C126"/>
      <c r="D126"/>
      <c r="E126" t="s">
        <v>450</v>
      </c>
      <c r="F126" s="150" t="str">
        <f>NGT_SO!F36</f>
        <v>SpC 2.3</v>
      </c>
      <c r="G126" s="43" t="str">
        <f>nominal</f>
        <v>£m nominal</v>
      </c>
      <c r="H126" s="4" t="s">
        <v>1126</v>
      </c>
      <c r="I126" s="43"/>
      <c r="J126" s="43"/>
      <c r="K126" s="43"/>
      <c r="L126" s="43"/>
      <c r="M126" s="43"/>
      <c r="N126" s="43"/>
      <c r="O126" s="43"/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F126" s="43"/>
      <c r="AG126" s="43"/>
      <c r="AH126" s="43"/>
      <c r="AI126" s="43"/>
      <c r="AJ126" s="43"/>
      <c r="AK126" s="43"/>
      <c r="AL126" s="43"/>
      <c r="AM126" s="43"/>
      <c r="AN126" s="43"/>
      <c r="AO126" s="43"/>
      <c r="AP126" s="43"/>
      <c r="AQ126" s="43"/>
      <c r="AR126" s="43"/>
      <c r="AS126" s="43"/>
      <c r="AT126" s="77"/>
      <c r="AU126" s="174">
        <f>NGT_SO!AU36</f>
        <v>0</v>
      </c>
      <c r="AV126" s="50">
        <f>NGT_SO!AV36</f>
        <v>0</v>
      </c>
      <c r="AW126" s="50">
        <f>NGT_SO!AW36</f>
        <v>0</v>
      </c>
      <c r="AX126" s="50">
        <f>NGT_SO!AX36</f>
        <v>0</v>
      </c>
      <c r="AY126" s="50">
        <f>NGT_SO!AY36</f>
        <v>0</v>
      </c>
      <c r="AZ126" s="44"/>
      <c r="BA126" s="44" t="str">
        <f ca="1">$A$1</f>
        <v>Transform_SO</v>
      </c>
      <c r="BB126" s="44" t="str">
        <f>$A$124</f>
        <v>Legacy adjustments</v>
      </c>
      <c r="BC126" s="44" t="str">
        <f>$B$125</f>
        <v>Inputs for true ups to allowed revenue</v>
      </c>
    </row>
    <row r="127" spans="1:55" s="9" customFormat="1" ht="17.5">
      <c r="A127" s="8"/>
      <c r="B127" s="8"/>
      <c r="C127"/>
      <c r="D127"/>
      <c r="E127" t="s">
        <v>451</v>
      </c>
      <c r="F127" s="150" t="str">
        <f>NGT_SO!F37</f>
        <v>SpC 2.3</v>
      </c>
      <c r="G127" s="43" t="str">
        <f>price_label</f>
        <v>£m 23/24 prices</v>
      </c>
      <c r="H127" s="4" t="s">
        <v>1127</v>
      </c>
      <c r="I127" s="43"/>
      <c r="J127" s="43"/>
      <c r="K127" s="43"/>
      <c r="L127" s="43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F127" s="43"/>
      <c r="AG127" s="43"/>
      <c r="AH127" s="43"/>
      <c r="AI127" s="43"/>
      <c r="AJ127" s="43"/>
      <c r="AK127" s="43"/>
      <c r="AL127" s="43"/>
      <c r="AM127" s="43"/>
      <c r="AN127" s="43"/>
      <c r="AO127" s="43"/>
      <c r="AP127" s="43"/>
      <c r="AQ127" s="43"/>
      <c r="AR127" s="43"/>
      <c r="AS127" s="43"/>
      <c r="AT127" s="77"/>
      <c r="AU127" s="174">
        <f>NGT_SO!AU37</f>
        <v>0</v>
      </c>
      <c r="AV127" s="50">
        <f>NGT_SO!AV37</f>
        <v>0</v>
      </c>
      <c r="AW127" s="50">
        <f>NGT_SO!AW37</f>
        <v>0</v>
      </c>
      <c r="AX127" s="50">
        <f>NGT_SO!AX37</f>
        <v>0</v>
      </c>
      <c r="AY127" s="50">
        <f>NGT_SO!AY37</f>
        <v>0</v>
      </c>
      <c r="AZ127" s="44"/>
      <c r="BA127" s="44" t="str">
        <f ca="1">$A$1</f>
        <v>Transform_SO</v>
      </c>
      <c r="BB127" s="44" t="str">
        <f>$A$124</f>
        <v>Legacy adjustments</v>
      </c>
      <c r="BC127" s="44" t="str">
        <f>$B$125</f>
        <v>Inputs for true ups to allowed revenue</v>
      </c>
    </row>
    <row r="128" spans="1:55" s="9" customFormat="1" ht="17.5">
      <c r="A128" s="8"/>
      <c r="B128" s="8"/>
      <c r="C128"/>
      <c r="D128"/>
      <c r="E128" t="s">
        <v>547</v>
      </c>
      <c r="F128" s="150" t="str">
        <f>NGT_SO!F38</f>
        <v>SpC 2.3</v>
      </c>
      <c r="G128" s="43" t="str">
        <f>nominal</f>
        <v>£m nominal</v>
      </c>
      <c r="H128" s="4" t="s">
        <v>1128</v>
      </c>
      <c r="I128" s="43"/>
      <c r="J128" s="43"/>
      <c r="K128" s="43"/>
      <c r="L128" s="43"/>
      <c r="M128" s="43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F128" s="43"/>
      <c r="AG128" s="43"/>
      <c r="AH128" s="43"/>
      <c r="AI128" s="43"/>
      <c r="AJ128" s="43"/>
      <c r="AK128" s="43"/>
      <c r="AL128" s="43"/>
      <c r="AM128" s="43"/>
      <c r="AN128" s="43"/>
      <c r="AO128" s="43"/>
      <c r="AP128" s="43"/>
      <c r="AQ128" s="43"/>
      <c r="AR128" s="43"/>
      <c r="AS128" s="43"/>
      <c r="AT128" s="77"/>
      <c r="AU128" s="174">
        <f>NGT_SO!AU38</f>
        <v>0</v>
      </c>
      <c r="AV128" s="50">
        <f>NGT_SO!AV38</f>
        <v>0</v>
      </c>
      <c r="AW128" s="50">
        <f>NGT_SO!AW38</f>
        <v>0</v>
      </c>
      <c r="AX128" s="50">
        <f>NGT_SO!AX38</f>
        <v>0</v>
      </c>
      <c r="AY128" s="50">
        <f>NGT_SO!AY38</f>
        <v>0</v>
      </c>
      <c r="AZ128" s="44"/>
      <c r="BA128" s="44" t="str">
        <f ca="1">$A$1</f>
        <v>Transform_SO</v>
      </c>
      <c r="BB128" s="44" t="str">
        <f>$A$124</f>
        <v>Legacy adjustments</v>
      </c>
      <c r="BC128" s="44" t="str">
        <f>$B$125</f>
        <v>Inputs for true ups to allowed revenue</v>
      </c>
    </row>
    <row r="129" spans="1:55" s="9" customFormat="1">
      <c r="A129" s="8"/>
      <c r="B129" s="8"/>
      <c r="C129"/>
      <c r="D129"/>
      <c r="E129" s="43"/>
      <c r="F129" s="150"/>
      <c r="G129" s="43"/>
      <c r="H129" s="248"/>
      <c r="I129" s="43"/>
      <c r="J129" s="43"/>
      <c r="K129" s="43"/>
      <c r="L129" s="43"/>
      <c r="M129" s="43"/>
      <c r="N129" s="43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  <c r="AA129" s="43"/>
      <c r="AB129" s="43"/>
      <c r="AC129" s="43"/>
      <c r="AD129" s="43"/>
      <c r="AE129" s="43"/>
      <c r="AF129" s="43"/>
      <c r="AG129" s="43"/>
      <c r="AH129" s="43"/>
      <c r="AI129" s="43"/>
      <c r="AJ129" s="43"/>
      <c r="AK129" s="43"/>
      <c r="AL129" s="43"/>
      <c r="AM129" s="43"/>
      <c r="AN129" s="43"/>
      <c r="AO129" s="43"/>
      <c r="AP129" s="43"/>
      <c r="AQ129" s="43"/>
      <c r="AR129" s="43"/>
      <c r="AS129" s="43"/>
      <c r="AT129" s="76"/>
      <c r="AU129" s="43"/>
      <c r="AV129" s="43"/>
      <c r="AW129" s="43"/>
      <c r="AX129" s="43"/>
      <c r="AY129" s="43"/>
      <c r="AZ129" s="44"/>
      <c r="BA129" s="44"/>
      <c r="BB129" s="44"/>
    </row>
    <row r="130" spans="1:55" s="9" customFormat="1">
      <c r="A130" s="8"/>
      <c r="B130" s="8"/>
      <c r="C130"/>
      <c r="D130"/>
      <c r="E130" s="43" t="s">
        <v>1021</v>
      </c>
      <c r="F130" s="150">
        <f>NGT_SO!F183</f>
        <v>0</v>
      </c>
      <c r="G130" s="43" t="s">
        <v>33</v>
      </c>
      <c r="H130" s="150"/>
      <c r="I130" s="56">
        <f>NGT_SO!I183</f>
        <v>0.12</v>
      </c>
      <c r="J130" s="43"/>
      <c r="K130" s="43"/>
      <c r="L130" s="43"/>
      <c r="M130" s="43"/>
      <c r="N130" s="43"/>
      <c r="O130" s="43"/>
      <c r="P130" s="43"/>
      <c r="Q130" s="43"/>
      <c r="R130" s="43"/>
      <c r="S130" s="43"/>
      <c r="T130" s="43"/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  <c r="AF130" s="43"/>
      <c r="AG130" s="43"/>
      <c r="AH130" s="43"/>
      <c r="AI130" s="43"/>
      <c r="AJ130" s="43"/>
      <c r="AK130" s="43"/>
      <c r="AL130" s="43"/>
      <c r="AM130" s="43"/>
      <c r="AN130" s="43"/>
      <c r="AO130" s="43"/>
      <c r="AP130" s="43"/>
      <c r="AQ130" s="43"/>
      <c r="AR130" s="43"/>
      <c r="AS130" s="43"/>
      <c r="AT130" s="76"/>
      <c r="AU130" s="43"/>
      <c r="AV130" s="43"/>
      <c r="AW130" s="43"/>
      <c r="AX130" s="43"/>
      <c r="AY130" s="43"/>
      <c r="AZ130" s="44"/>
      <c r="BA130" s="44" t="str">
        <f t="shared" ref="BA130:BA135" ca="1" si="29">$A$1</f>
        <v>Transform_SO</v>
      </c>
      <c r="BB130" s="44" t="str">
        <f t="shared" ref="BB130:BB135" si="30">$A$124</f>
        <v>Legacy adjustments</v>
      </c>
      <c r="BC130" s="44" t="str">
        <f t="shared" ref="BC130:BC135" si="31">$B$125</f>
        <v>Inputs for true ups to allowed revenue</v>
      </c>
    </row>
    <row r="131" spans="1:55" s="9" customFormat="1" ht="16.5">
      <c r="A131" s="8"/>
      <c r="B131" s="8"/>
      <c r="C131"/>
      <c r="D131"/>
      <c r="E131" s="43" t="s">
        <v>454</v>
      </c>
      <c r="F131" s="150" t="str">
        <f>NGT_SO!F163</f>
        <v>SpC 2.3</v>
      </c>
      <c r="G131" s="43" t="s">
        <v>21</v>
      </c>
      <c r="H131" t="s">
        <v>935</v>
      </c>
      <c r="I131" s="43"/>
      <c r="J131" s="43"/>
      <c r="K131" s="43"/>
      <c r="L131" s="43"/>
      <c r="M131" s="43"/>
      <c r="N131" s="43"/>
      <c r="O131" s="43"/>
      <c r="P131" s="43"/>
      <c r="Q131" s="43"/>
      <c r="R131" s="43"/>
      <c r="S131" s="43"/>
      <c r="T131" s="43"/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  <c r="AF131" s="43"/>
      <c r="AG131" s="43"/>
      <c r="AH131" s="43"/>
      <c r="AI131" s="43"/>
      <c r="AJ131" s="43"/>
      <c r="AK131" s="43"/>
      <c r="AL131" s="43"/>
      <c r="AM131" s="43"/>
      <c r="AN131" s="43"/>
      <c r="AO131" s="43"/>
      <c r="AP131" s="43"/>
      <c r="AQ131" s="43"/>
      <c r="AR131" s="43"/>
      <c r="AS131" s="43"/>
      <c r="AT131" s="77"/>
      <c r="AU131"/>
      <c r="AV131" s="50">
        <f>NGT_SO!AV163</f>
        <v>1</v>
      </c>
      <c r="AW131" s="50">
        <f>NGT_SO!AW163</f>
        <v>1</v>
      </c>
      <c r="AX131" s="50">
        <f>NGT_SO!AX163</f>
        <v>1</v>
      </c>
      <c r="AY131" s="50">
        <f>NGT_SO!AY163</f>
        <v>1</v>
      </c>
      <c r="AZ131" s="44"/>
      <c r="BA131" s="44" t="str">
        <f t="shared" ca="1" si="29"/>
        <v>Transform_SO</v>
      </c>
      <c r="BB131" s="44" t="str">
        <f t="shared" si="30"/>
        <v>Legacy adjustments</v>
      </c>
      <c r="BC131" s="44" t="str">
        <f t="shared" si="31"/>
        <v>Inputs for true ups to allowed revenue</v>
      </c>
    </row>
    <row r="132" spans="1:55" s="9" customFormat="1">
      <c r="A132" s="8"/>
      <c r="B132" s="8"/>
      <c r="C132"/>
      <c r="D132"/>
      <c r="E132" s="43" t="s">
        <v>452</v>
      </c>
      <c r="F132" s="150">
        <f>NGT_SO!F185</f>
        <v>0</v>
      </c>
      <c r="G132" s="43" t="s">
        <v>33</v>
      </c>
      <c r="H132" s="150"/>
      <c r="I132" s="56">
        <f>NGT_SO!I185</f>
        <v>1.15E-2</v>
      </c>
      <c r="J132" s="43"/>
      <c r="K132" s="43"/>
      <c r="L132" s="43"/>
      <c r="M132" s="43"/>
      <c r="N132" s="43"/>
      <c r="O132" s="43"/>
      <c r="P132" s="43"/>
      <c r="Q132" s="43"/>
      <c r="R132" s="43"/>
      <c r="S132" s="43"/>
      <c r="T132" s="43"/>
      <c r="U132" s="43"/>
      <c r="V132" s="43"/>
      <c r="W132" s="43"/>
      <c r="X132" s="43"/>
      <c r="Y132" s="43"/>
      <c r="Z132" s="43"/>
      <c r="AA132" s="43"/>
      <c r="AB132" s="43"/>
      <c r="AC132" s="43"/>
      <c r="AD132" s="43"/>
      <c r="AE132" s="43"/>
      <c r="AF132" s="43"/>
      <c r="AG132" s="43"/>
      <c r="AH132" s="43"/>
      <c r="AI132" s="43"/>
      <c r="AJ132" s="43"/>
      <c r="AK132" s="43"/>
      <c r="AL132" s="43"/>
      <c r="AM132" s="43"/>
      <c r="AN132" s="43"/>
      <c r="AO132" s="43"/>
      <c r="AP132" s="43"/>
      <c r="AQ132" s="43"/>
      <c r="AR132" s="43"/>
      <c r="AS132" s="43"/>
      <c r="AT132" s="76"/>
      <c r="AU132" s="43"/>
      <c r="AV132" s="43"/>
      <c r="AW132" s="43"/>
      <c r="AX132" s="43"/>
      <c r="AY132" s="43"/>
      <c r="AZ132" s="44"/>
      <c r="BA132" s="44" t="str">
        <f t="shared" ca="1" si="29"/>
        <v>Transform_SO</v>
      </c>
      <c r="BB132" s="44" t="str">
        <f t="shared" si="30"/>
        <v>Legacy adjustments</v>
      </c>
      <c r="BC132" s="44" t="str">
        <f t="shared" si="31"/>
        <v>Inputs for true ups to allowed revenue</v>
      </c>
    </row>
    <row r="133" spans="1:55" s="9" customFormat="1">
      <c r="A133" s="8"/>
      <c r="B133" s="8"/>
      <c r="C133"/>
      <c r="D133"/>
      <c r="E133" s="43" t="s">
        <v>1022</v>
      </c>
      <c r="F133" s="150"/>
      <c r="G133" s="43" t="s">
        <v>33</v>
      </c>
      <c r="H133" s="150"/>
      <c r="I133" s="56">
        <f>NGT_SO!I184</f>
        <v>0.06</v>
      </c>
      <c r="J133" s="43"/>
      <c r="K133" s="43"/>
      <c r="L133" s="43"/>
      <c r="M133" s="43"/>
      <c r="N133" s="43"/>
      <c r="O133" s="43"/>
      <c r="P133" s="43"/>
      <c r="Q133" s="43"/>
      <c r="R133" s="43"/>
      <c r="S133" s="43"/>
      <c r="T133" s="43"/>
      <c r="U133" s="43"/>
      <c r="V133" s="43"/>
      <c r="W133" s="43"/>
      <c r="X133" s="43"/>
      <c r="Y133" s="43"/>
      <c r="Z133" s="43"/>
      <c r="AA133" s="43"/>
      <c r="AB133" s="43"/>
      <c r="AC133" s="43"/>
      <c r="AD133" s="43"/>
      <c r="AE133" s="43"/>
      <c r="AF133" s="43"/>
      <c r="AG133" s="43"/>
      <c r="AH133" s="43"/>
      <c r="AI133" s="43"/>
      <c r="AJ133" s="43"/>
      <c r="AK133" s="43"/>
      <c r="AL133" s="43"/>
      <c r="AM133" s="43"/>
      <c r="AN133" s="43"/>
      <c r="AO133" s="43"/>
      <c r="AP133" s="43"/>
      <c r="AQ133" s="43"/>
      <c r="AR133" s="43"/>
      <c r="AS133" s="43"/>
      <c r="AT133" s="76"/>
      <c r="AU133" s="43"/>
      <c r="AV133" s="43"/>
      <c r="AW133" s="43"/>
      <c r="AX133" s="43"/>
      <c r="AY133" s="43"/>
      <c r="AZ133" s="44"/>
      <c r="BA133" s="44" t="str">
        <f t="shared" ca="1" si="29"/>
        <v>Transform_SO</v>
      </c>
      <c r="BB133" s="44" t="str">
        <f t="shared" si="30"/>
        <v>Legacy adjustments</v>
      </c>
      <c r="BC133" s="44" t="str">
        <f t="shared" si="31"/>
        <v>Inputs for true ups to allowed revenue</v>
      </c>
    </row>
    <row r="134" spans="1:55" s="9" customFormat="1" ht="16.5">
      <c r="A134" s="8"/>
      <c r="B134" s="8"/>
      <c r="C134"/>
      <c r="D134"/>
      <c r="E134" s="43" t="s">
        <v>455</v>
      </c>
      <c r="F134" s="150" t="str">
        <f>NGT_SO!F164</f>
        <v>SpC 2.3</v>
      </c>
      <c r="G134" s="43" t="s">
        <v>21</v>
      </c>
      <c r="H134" t="s">
        <v>936</v>
      </c>
      <c r="I134" s="43"/>
      <c r="J134" s="43"/>
      <c r="K134" s="43"/>
      <c r="L134" s="43"/>
      <c r="M134" s="43"/>
      <c r="N134" s="43"/>
      <c r="O134" s="43"/>
      <c r="P134" s="43"/>
      <c r="Q134" s="43"/>
      <c r="R134" s="43"/>
      <c r="S134" s="43"/>
      <c r="T134" s="43"/>
      <c r="U134" s="43"/>
      <c r="V134" s="43"/>
      <c r="W134" s="43"/>
      <c r="X134" s="43"/>
      <c r="Y134" s="43"/>
      <c r="Z134" s="43"/>
      <c r="AA134" s="43"/>
      <c r="AB134" s="43"/>
      <c r="AC134" s="43"/>
      <c r="AD134" s="43"/>
      <c r="AE134" s="43"/>
      <c r="AF134" s="43"/>
      <c r="AG134" s="43"/>
      <c r="AH134" s="43"/>
      <c r="AI134" s="43"/>
      <c r="AJ134" s="43"/>
      <c r="AK134" s="43"/>
      <c r="AL134" s="43"/>
      <c r="AM134" s="43"/>
      <c r="AN134" s="43"/>
      <c r="AO134" s="43"/>
      <c r="AP134" s="43"/>
      <c r="AQ134" s="43"/>
      <c r="AR134" s="43"/>
      <c r="AS134" s="43"/>
      <c r="AT134" s="77"/>
      <c r="AU134"/>
      <c r="AV134" s="50">
        <f>NGT_SO!AV164</f>
        <v>1</v>
      </c>
      <c r="AW134" s="50">
        <f>NGT_SO!AW164</f>
        <v>1</v>
      </c>
      <c r="AX134" s="50">
        <f>NGT_SO!AX164</f>
        <v>1</v>
      </c>
      <c r="AY134" s="50">
        <f>NGT_SO!AY164</f>
        <v>1</v>
      </c>
      <c r="AZ134" s="44"/>
      <c r="BA134" s="44" t="str">
        <f t="shared" ca="1" si="29"/>
        <v>Transform_SO</v>
      </c>
      <c r="BB134" s="44" t="str">
        <f t="shared" si="30"/>
        <v>Legacy adjustments</v>
      </c>
      <c r="BC134" s="44" t="str">
        <f t="shared" si="31"/>
        <v>Inputs for true ups to allowed revenue</v>
      </c>
    </row>
    <row r="135" spans="1:55" s="9" customFormat="1">
      <c r="A135" s="8"/>
      <c r="B135" s="8"/>
      <c r="C135"/>
      <c r="D135"/>
      <c r="E135" s="43" t="s">
        <v>453</v>
      </c>
      <c r="F135" s="150">
        <f>NGT_SO!F186</f>
        <v>0</v>
      </c>
      <c r="G135" s="43" t="s">
        <v>33</v>
      </c>
      <c r="H135" s="150"/>
      <c r="I135" s="56">
        <f>NGT_SO!I186</f>
        <v>1.15E-2</v>
      </c>
      <c r="J135" s="43"/>
      <c r="K135" s="43"/>
      <c r="L135" s="43"/>
      <c r="M135" s="43"/>
      <c r="N135" s="43"/>
      <c r="O135" s="43"/>
      <c r="P135" s="43"/>
      <c r="Q135" s="43"/>
      <c r="R135" s="43"/>
      <c r="S135" s="43"/>
      <c r="T135" s="43"/>
      <c r="U135" s="43"/>
      <c r="V135" s="43"/>
      <c r="W135" s="43"/>
      <c r="X135" s="43"/>
      <c r="Y135" s="43"/>
      <c r="Z135" s="43"/>
      <c r="AA135" s="43"/>
      <c r="AB135" s="43"/>
      <c r="AC135" s="43"/>
      <c r="AD135" s="43"/>
      <c r="AE135" s="43"/>
      <c r="AF135" s="43"/>
      <c r="AG135" s="43"/>
      <c r="AH135" s="43"/>
      <c r="AI135" s="43"/>
      <c r="AJ135" s="43"/>
      <c r="AK135" s="43"/>
      <c r="AL135" s="43"/>
      <c r="AM135" s="43"/>
      <c r="AN135" s="43"/>
      <c r="AO135" s="43"/>
      <c r="AP135" s="43"/>
      <c r="AQ135" s="43"/>
      <c r="AR135" s="43"/>
      <c r="AS135" s="43"/>
      <c r="AT135" s="76"/>
      <c r="AU135" s="43"/>
      <c r="AV135" s="43"/>
      <c r="AW135" s="43"/>
      <c r="AX135" s="43"/>
      <c r="AY135" s="43"/>
      <c r="AZ135" s="44"/>
      <c r="BA135" s="44" t="str">
        <f t="shared" ca="1" si="29"/>
        <v>Transform_SO</v>
      </c>
      <c r="BB135" s="44" t="str">
        <f t="shared" si="30"/>
        <v>Legacy adjustments</v>
      </c>
      <c r="BC135" s="44" t="str">
        <f t="shared" si="31"/>
        <v>Inputs for true ups to allowed revenue</v>
      </c>
    </row>
    <row r="136" spans="1:55" s="9" customFormat="1">
      <c r="A136" s="8"/>
      <c r="B136" s="8"/>
      <c r="C136"/>
      <c r="D136"/>
      <c r="E136" s="44"/>
      <c r="F136" s="150"/>
      <c r="G136" s="43"/>
      <c r="H136" s="150"/>
      <c r="I136" s="43"/>
      <c r="J136" s="43"/>
      <c r="K136" s="43"/>
      <c r="L136" s="43"/>
      <c r="M136" s="43"/>
      <c r="N136" s="43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  <c r="AA136" s="43"/>
      <c r="AB136" s="43"/>
      <c r="AC136" s="43"/>
      <c r="AD136" s="43"/>
      <c r="AE136" s="43"/>
      <c r="AF136" s="43"/>
      <c r="AG136" s="43"/>
      <c r="AH136" s="43"/>
      <c r="AI136" s="43"/>
      <c r="AJ136" s="43"/>
      <c r="AK136" s="43"/>
      <c r="AL136" s="43"/>
      <c r="AM136" s="43"/>
      <c r="AN136" s="43"/>
      <c r="AO136" s="43"/>
      <c r="AP136" s="43"/>
      <c r="AQ136" s="43"/>
      <c r="AR136" s="43"/>
      <c r="AS136" s="43"/>
      <c r="AT136" s="76"/>
      <c r="AU136" s="43"/>
      <c r="AV136" s="43"/>
      <c r="AW136" s="43"/>
      <c r="AX136" s="43"/>
      <c r="AY136" s="43"/>
      <c r="AZ136" s="44"/>
      <c r="BA136" s="44"/>
      <c r="BB136" s="44"/>
    </row>
    <row r="137" spans="1:55" s="9" customFormat="1" ht="17.5" thickBot="1">
      <c r="A137" s="8"/>
      <c r="B137" s="11" t="s">
        <v>20</v>
      </c>
      <c r="C137"/>
      <c r="D137"/>
      <c r="E137" s="44"/>
      <c r="F137" s="150"/>
      <c r="G137" s="43"/>
      <c r="H137" s="150"/>
      <c r="I137" s="43"/>
      <c r="J137" s="43"/>
      <c r="K137" s="43"/>
      <c r="L137" s="43"/>
      <c r="M137" s="43"/>
      <c r="N137" s="43"/>
      <c r="O137" s="43"/>
      <c r="P137" s="43"/>
      <c r="Q137" s="43"/>
      <c r="R137" s="43"/>
      <c r="S137" s="43"/>
      <c r="T137" s="43"/>
      <c r="U137" s="43"/>
      <c r="V137" s="43"/>
      <c r="W137" s="43"/>
      <c r="X137" s="43"/>
      <c r="Y137" s="43"/>
      <c r="Z137" s="43"/>
      <c r="AA137" s="43"/>
      <c r="AB137" s="43"/>
      <c r="AC137" s="43"/>
      <c r="AD137" s="43"/>
      <c r="AE137" s="43"/>
      <c r="AF137" s="43"/>
      <c r="AG137" s="43"/>
      <c r="AH137" s="43"/>
      <c r="AI137" s="43"/>
      <c r="AJ137" s="43"/>
      <c r="AK137" s="43"/>
      <c r="AL137" s="43"/>
      <c r="AM137" s="43"/>
      <c r="AN137" s="43"/>
      <c r="AO137" s="43"/>
      <c r="AP137" s="43"/>
      <c r="AQ137" s="43"/>
      <c r="AR137" s="43"/>
      <c r="AS137" s="43"/>
      <c r="AT137" s="76"/>
      <c r="AU137" s="43"/>
      <c r="AV137" s="43"/>
      <c r="AW137" s="43"/>
      <c r="AX137" s="43"/>
      <c r="AY137" s="43"/>
      <c r="AZ137" s="44"/>
      <c r="BA137" s="44"/>
      <c r="BB137" s="44"/>
    </row>
    <row r="138" spans="1:55" s="9" customFormat="1" ht="17" thickTop="1">
      <c r="A138"/>
      <c r="B138"/>
      <c r="C138"/>
      <c r="D138"/>
      <c r="E138" s="114" t="s">
        <v>456</v>
      </c>
      <c r="F138" s="150">
        <f>Transform_TO!F202</f>
        <v>0</v>
      </c>
      <c r="G138" s="43" t="str">
        <f>Transform_TO!G202</f>
        <v>annual nominal %</v>
      </c>
      <c r="H138" s="150" t="s">
        <v>939</v>
      </c>
      <c r="I138" s="43"/>
      <c r="J138" s="43"/>
      <c r="K138" s="43"/>
      <c r="L138" s="43"/>
      <c r="M138" s="43"/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  <c r="AA138" s="43"/>
      <c r="AB138" s="43"/>
      <c r="AC138" s="43"/>
      <c r="AD138" s="43"/>
      <c r="AE138" s="43"/>
      <c r="AF138" s="43"/>
      <c r="AG138" s="43"/>
      <c r="AH138" s="43"/>
      <c r="AI138" s="43"/>
      <c r="AJ138" s="43"/>
      <c r="AK138" s="43"/>
      <c r="AL138" s="43"/>
      <c r="AM138" s="43"/>
      <c r="AN138" s="43"/>
      <c r="AO138" s="43"/>
      <c r="AP138" s="43"/>
      <c r="AQ138" s="43"/>
      <c r="AR138" s="43"/>
      <c r="AS138" s="43"/>
      <c r="AT138" s="76"/>
      <c r="AU138" s="175">
        <f>Transform_TO!AU202</f>
        <v>5.8267641724859133E-2</v>
      </c>
      <c r="AV138" s="56">
        <f>Transform_TO!AV202</f>
        <v>6.4883542303898922E-2</v>
      </c>
      <c r="AW138" s="56">
        <f>Transform_TO!AW202</f>
        <v>6.5286473689554356E-2</v>
      </c>
      <c r="AX138" s="56">
        <f>Transform_TO!AX202</f>
        <v>6.5870021424796796E-2</v>
      </c>
      <c r="AY138" s="56">
        <f>Transform_TO!AY202</f>
        <v>6.6817637737252494E-2</v>
      </c>
      <c r="AZ138" s="44"/>
      <c r="BA138" s="44" t="str">
        <f t="shared" ref="BA138:BA149" ca="1" si="32">$A$1</f>
        <v>Transform_SO</v>
      </c>
      <c r="BB138" s="44" t="str">
        <f t="shared" ref="BB138:BB149" si="33">$A$124</f>
        <v>Legacy adjustments</v>
      </c>
      <c r="BC138" s="44" t="str">
        <f t="shared" ref="BC138:BC149" si="34">$B$137</f>
        <v>Legacy adjustments</v>
      </c>
    </row>
    <row r="139" spans="1:55" s="9" customFormat="1">
      <c r="A139" s="8"/>
      <c r="B139" s="8"/>
      <c r="C139"/>
      <c r="D139"/>
      <c r="E139" t="s">
        <v>457</v>
      </c>
      <c r="F139" s="150"/>
      <c r="G139" s="43" t="s">
        <v>21</v>
      </c>
      <c r="H139" s="150"/>
      <c r="I139" s="43"/>
      <c r="J139" s="43"/>
      <c r="K139" s="43"/>
      <c r="L139" s="43"/>
      <c r="M139" s="43"/>
      <c r="N139" s="43"/>
      <c r="O139" s="43"/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  <c r="AA139" s="43"/>
      <c r="AB139" s="43"/>
      <c r="AC139" s="43"/>
      <c r="AD139" s="43"/>
      <c r="AE139" s="43"/>
      <c r="AF139" s="43"/>
      <c r="AG139" s="43"/>
      <c r="AH139" s="43"/>
      <c r="AI139" s="43"/>
      <c r="AJ139" s="43"/>
      <c r="AK139" s="43"/>
      <c r="AL139" s="43"/>
      <c r="AM139" s="43"/>
      <c r="AN139" s="43"/>
      <c r="AO139" s="43"/>
      <c r="AP139" s="43"/>
      <c r="AQ139" s="43"/>
      <c r="AR139" s="43"/>
      <c r="AS139" s="43"/>
      <c r="AT139" s="76"/>
      <c r="AU139" s="96" cm="1">
        <f t="array" ref="AU139">PRODUCT(1+$AT138:AT138)</f>
        <v>1</v>
      </c>
      <c r="AV139" s="61" cm="1">
        <f t="array" ref="AV139">PRODUCT(1+$AT138:AU138)</f>
        <v>1.0582676417248591</v>
      </c>
      <c r="AW139" s="61" cm="1">
        <f t="array" ref="AW139">PRODUCT(1+$AT138:AV138)</f>
        <v>1.1269317950255613</v>
      </c>
      <c r="AX139" s="61" cm="1">
        <f t="array" ref="AX139">PRODUCT(1+$AT138:AW138)</f>
        <v>1.2005051980114199</v>
      </c>
      <c r="AY139" s="61" cm="1">
        <f t="array" ref="AY139">PRODUCT(1+$AT138:AX138)</f>
        <v>1.2795825011250119</v>
      </c>
      <c r="AZ139" s="44"/>
      <c r="BA139" s="44" t="str">
        <f t="shared" ca="1" si="32"/>
        <v>Transform_SO</v>
      </c>
      <c r="BB139" s="44" t="str">
        <f t="shared" si="33"/>
        <v>Legacy adjustments</v>
      </c>
      <c r="BC139" s="44" t="str">
        <f t="shared" si="34"/>
        <v>Legacy adjustments</v>
      </c>
    </row>
    <row r="140" spans="1:55" customFormat="1" ht="14.5">
      <c r="AT140" s="77"/>
    </row>
    <row r="141" spans="1:55" s="9" customFormat="1" ht="16.5">
      <c r="A141" s="8"/>
      <c r="B141" s="8"/>
      <c r="C141"/>
      <c r="D141"/>
      <c r="E141" s="43" t="s">
        <v>1072</v>
      </c>
      <c r="F141" s="150" t="str">
        <f>NGT_SO!F41</f>
        <v>SpC 7.6</v>
      </c>
      <c r="G141" s="43" t="str">
        <f>nominal</f>
        <v>£m nominal</v>
      </c>
      <c r="H141" s="150" t="s">
        <v>826</v>
      </c>
      <c r="I141" s="43"/>
      <c r="J141" s="43"/>
      <c r="K141" s="43"/>
      <c r="L141" s="43"/>
      <c r="M141" s="43"/>
      <c r="N141" s="43"/>
      <c r="O141" s="43"/>
      <c r="P141" s="43"/>
      <c r="Q141" s="43"/>
      <c r="R141" s="43"/>
      <c r="S141" s="43"/>
      <c r="T141" s="43"/>
      <c r="U141" s="43"/>
      <c r="V141" s="43"/>
      <c r="W141" s="43"/>
      <c r="X141" s="43"/>
      <c r="Y141" s="43"/>
      <c r="Z141" s="43"/>
      <c r="AA141" s="43"/>
      <c r="AB141" s="43"/>
      <c r="AC141" s="43"/>
      <c r="AD141" s="43"/>
      <c r="AE141" s="43"/>
      <c r="AF141" s="43"/>
      <c r="AG141" s="43"/>
      <c r="AH141" s="43"/>
      <c r="AI141" s="43"/>
      <c r="AJ141" s="43"/>
      <c r="AK141" s="43"/>
      <c r="AL141" s="43"/>
      <c r="AM141" s="43"/>
      <c r="AN141" s="43"/>
      <c r="AO141" s="43"/>
      <c r="AP141" s="43"/>
      <c r="AQ141" s="43"/>
      <c r="AR141" s="43"/>
      <c r="AS141" s="43"/>
      <c r="AT141" s="76"/>
      <c r="AU141" s="174">
        <f>NGT_SO!AU41</f>
        <v>-41.450689157597054</v>
      </c>
      <c r="AV141" s="43"/>
      <c r="AW141" s="43"/>
      <c r="AX141" s="43"/>
      <c r="AY141" s="43"/>
      <c r="AZ141" s="44"/>
      <c r="BA141" s="44" t="str">
        <f t="shared" ca="1" si="32"/>
        <v>Transform_SO</v>
      </c>
      <c r="BB141" s="44" t="str">
        <f t="shared" si="33"/>
        <v>Legacy adjustments</v>
      </c>
      <c r="BC141" s="44" t="str">
        <f>$B$137</f>
        <v>Legacy adjustments</v>
      </c>
    </row>
    <row r="142" spans="1:55" s="9" customFormat="1">
      <c r="A142" s="8"/>
      <c r="B142" s="8"/>
      <c r="C142"/>
      <c r="D142"/>
      <c r="E142" s="43" t="s">
        <v>1151</v>
      </c>
      <c r="F142" s="150"/>
      <c r="G142" t="s">
        <v>830</v>
      </c>
      <c r="H142" s="150"/>
      <c r="I142" s="49">
        <f>NGT_SO!I187</f>
        <v>1</v>
      </c>
      <c r="J142" s="43"/>
      <c r="K142" s="43"/>
      <c r="L142" s="43"/>
      <c r="M142" s="43"/>
      <c r="N142" s="43"/>
      <c r="O142" s="43"/>
      <c r="P142" s="43"/>
      <c r="Q142" s="43"/>
      <c r="R142" s="43"/>
      <c r="S142" s="43"/>
      <c r="T142" s="43"/>
      <c r="U142" s="43"/>
      <c r="V142" s="43"/>
      <c r="W142" s="43"/>
      <c r="X142" s="43"/>
      <c r="Y142" s="43"/>
      <c r="Z142" s="43"/>
      <c r="AA142" s="43"/>
      <c r="AB142" s="43"/>
      <c r="AC142" s="43"/>
      <c r="AD142" s="43"/>
      <c r="AE142" s="43"/>
      <c r="AF142" s="43"/>
      <c r="AG142" s="43"/>
      <c r="AH142" s="43"/>
      <c r="AI142" s="43"/>
      <c r="AJ142" s="43"/>
      <c r="AK142" s="43"/>
      <c r="AL142" s="43"/>
      <c r="AM142" s="43"/>
      <c r="AN142" s="43"/>
      <c r="AO142" s="43"/>
      <c r="AP142" s="43"/>
      <c r="AQ142" s="43"/>
      <c r="AR142" s="43"/>
      <c r="AS142" s="43"/>
      <c r="AT142" s="76"/>
      <c r="AU142" s="174">
        <f>IF($I142=1,AU141,$AU141/$I142)</f>
        <v>-41.450689157597054</v>
      </c>
      <c r="AV142" s="50">
        <f t="shared" ref="AV142:AY142" si="35">IF($I142=1,AV141,$AU141/$I142)</f>
        <v>0</v>
      </c>
      <c r="AW142" s="50">
        <f t="shared" si="35"/>
        <v>0</v>
      </c>
      <c r="AX142" s="50">
        <f t="shared" si="35"/>
        <v>0</v>
      </c>
      <c r="AY142" s="50">
        <f t="shared" si="35"/>
        <v>0</v>
      </c>
      <c r="AZ142" s="44"/>
      <c r="BA142" s="44" t="str">
        <f t="shared" ca="1" si="32"/>
        <v>Transform_SO</v>
      </c>
      <c r="BB142" s="44" t="str">
        <f t="shared" si="33"/>
        <v>Legacy adjustments</v>
      </c>
      <c r="BC142" s="44" t="str">
        <f>$B$137</f>
        <v>Legacy adjustments</v>
      </c>
    </row>
    <row r="143" spans="1:55" customFormat="1" ht="16.5">
      <c r="E143" t="s">
        <v>821</v>
      </c>
      <c r="F143" t="s">
        <v>882</v>
      </c>
      <c r="G143" s="43" t="str">
        <f>nominal</f>
        <v>£m nominal</v>
      </c>
      <c r="H143" t="s">
        <v>944</v>
      </c>
      <c r="AT143" s="77"/>
      <c r="AU143" s="96">
        <f>AU142*AU$139</f>
        <v>-41.450689157597054</v>
      </c>
      <c r="AV143" s="61">
        <f t="shared" ref="AV143:AY143" si="36">AV142*AV$139</f>
        <v>0</v>
      </c>
      <c r="AW143" s="61">
        <f t="shared" si="36"/>
        <v>0</v>
      </c>
      <c r="AX143" s="61">
        <f t="shared" si="36"/>
        <v>0</v>
      </c>
      <c r="AY143" s="61">
        <f t="shared" si="36"/>
        <v>0</v>
      </c>
      <c r="BA143" s="44" t="str">
        <f t="shared" ca="1" si="32"/>
        <v>Transform_SO</v>
      </c>
      <c r="BB143" s="44" t="str">
        <f t="shared" si="33"/>
        <v>Legacy adjustments</v>
      </c>
      <c r="BC143" s="44" t="str">
        <f>$B$137</f>
        <v>Legacy adjustments</v>
      </c>
    </row>
    <row r="144" spans="1:55" customFormat="1" ht="14.5">
      <c r="AT144" s="77"/>
    </row>
    <row r="145" spans="1:55" s="9" customFormat="1" ht="16.5">
      <c r="A145" s="8"/>
      <c r="B145" s="8"/>
      <c r="C145"/>
      <c r="D145"/>
      <c r="E145" s="43" t="s">
        <v>798</v>
      </c>
      <c r="F145" s="150" t="str">
        <f>NGT_SO!F42</f>
        <v>SpC 7.7</v>
      </c>
      <c r="G145" s="43" t="str">
        <f>nominal</f>
        <v>£m nominal</v>
      </c>
      <c r="H145" s="150" t="s">
        <v>825</v>
      </c>
      <c r="I145" s="43"/>
      <c r="J145" s="43"/>
      <c r="K145" s="43"/>
      <c r="L145" s="43"/>
      <c r="M145" s="43"/>
      <c r="N145" s="43"/>
      <c r="O145" s="43"/>
      <c r="P145" s="43"/>
      <c r="Q145" s="43"/>
      <c r="R145" s="43"/>
      <c r="S145" s="43"/>
      <c r="T145" s="43"/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F145" s="43"/>
      <c r="AG145" s="43"/>
      <c r="AH145" s="43"/>
      <c r="AI145" s="43"/>
      <c r="AJ145" s="43"/>
      <c r="AK145" s="43"/>
      <c r="AL145" s="43"/>
      <c r="AM145" s="43"/>
      <c r="AN145" s="43"/>
      <c r="AO145" s="43"/>
      <c r="AP145" s="43"/>
      <c r="AQ145" s="43"/>
      <c r="AR145" s="43"/>
      <c r="AS145" s="43"/>
      <c r="AT145" s="76"/>
      <c r="AU145" s="174">
        <f>NGT_SO!AU42</f>
        <v>13.7696220495117</v>
      </c>
      <c r="AV145" s="43"/>
      <c r="AW145" s="43"/>
      <c r="AX145" s="43"/>
      <c r="AY145" s="43"/>
      <c r="AZ145" s="44"/>
      <c r="BA145" s="44" t="str">
        <f t="shared" ca="1" si="32"/>
        <v>Transform_SO</v>
      </c>
      <c r="BB145" s="44" t="str">
        <f t="shared" si="33"/>
        <v>Legacy adjustments</v>
      </c>
      <c r="BC145" s="44" t="str">
        <f t="shared" si="34"/>
        <v>Legacy adjustments</v>
      </c>
    </row>
    <row r="146" spans="1:55" s="9" customFormat="1">
      <c r="A146" s="8"/>
      <c r="B146" s="8"/>
      <c r="C146"/>
      <c r="D146"/>
      <c r="E146" t="s">
        <v>1153</v>
      </c>
      <c r="F146" s="150"/>
      <c r="G146" t="s">
        <v>830</v>
      </c>
      <c r="H146" s="150"/>
      <c r="I146" s="49">
        <f>NGT_SO!I188</f>
        <v>1</v>
      </c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43"/>
      <c r="Y146" s="43"/>
      <c r="Z146" s="43"/>
      <c r="AA146" s="43"/>
      <c r="AB146" s="43"/>
      <c r="AC146" s="43"/>
      <c r="AD146" s="43"/>
      <c r="AE146" s="43"/>
      <c r="AF146" s="43"/>
      <c r="AG146" s="43"/>
      <c r="AH146" s="43"/>
      <c r="AI146" s="43"/>
      <c r="AJ146" s="43"/>
      <c r="AK146" s="43"/>
      <c r="AL146" s="43"/>
      <c r="AM146" s="43"/>
      <c r="AN146" s="43"/>
      <c r="AO146" s="43"/>
      <c r="AP146" s="43"/>
      <c r="AQ146" s="43"/>
      <c r="AR146" s="43"/>
      <c r="AS146" s="43"/>
      <c r="AT146" s="76"/>
      <c r="AU146" s="174">
        <f>IF($I146=1,AU145,$AU145/$I146)</f>
        <v>13.7696220495117</v>
      </c>
      <c r="AV146" s="50">
        <f t="shared" ref="AV146:AY146" si="37">IF($I146=1,AV145,$AU145/$I146)</f>
        <v>0</v>
      </c>
      <c r="AW146" s="50">
        <f t="shared" si="37"/>
        <v>0</v>
      </c>
      <c r="AX146" s="50">
        <f t="shared" si="37"/>
        <v>0</v>
      </c>
      <c r="AY146" s="50">
        <f t="shared" si="37"/>
        <v>0</v>
      </c>
      <c r="AZ146" s="44"/>
      <c r="BA146" s="44" t="str">
        <f t="shared" ca="1" si="32"/>
        <v>Transform_SO</v>
      </c>
      <c r="BB146" s="44" t="str">
        <f t="shared" si="33"/>
        <v>Legacy adjustments</v>
      </c>
      <c r="BC146" s="44" t="str">
        <f t="shared" si="34"/>
        <v>Legacy adjustments</v>
      </c>
    </row>
    <row r="147" spans="1:55" customFormat="1" ht="16.5">
      <c r="E147" t="s">
        <v>822</v>
      </c>
      <c r="F147" t="s">
        <v>883</v>
      </c>
      <c r="G147" s="43" t="str">
        <f>nominal</f>
        <v>£m nominal</v>
      </c>
      <c r="H147" t="s">
        <v>945</v>
      </c>
      <c r="AT147" s="77"/>
      <c r="AU147" s="96">
        <f>AU146*AU$139</f>
        <v>13.7696220495117</v>
      </c>
      <c r="AV147" s="61">
        <f t="shared" ref="AV147:AY147" si="38">AV146*AV$139</f>
        <v>0</v>
      </c>
      <c r="AW147" s="61">
        <f t="shared" si="38"/>
        <v>0</v>
      </c>
      <c r="AX147" s="61">
        <f t="shared" si="38"/>
        <v>0</v>
      </c>
      <c r="AY147" s="61">
        <f t="shared" si="38"/>
        <v>0</v>
      </c>
      <c r="BA147" s="44" t="str">
        <f t="shared" ca="1" si="32"/>
        <v>Transform_SO</v>
      </c>
      <c r="BB147" s="44" t="str">
        <f t="shared" si="33"/>
        <v>Legacy adjustments</v>
      </c>
      <c r="BC147" s="44" t="str">
        <f t="shared" si="34"/>
        <v>Legacy adjustments</v>
      </c>
    </row>
    <row r="148" spans="1:55" customFormat="1" ht="14.5">
      <c r="AT148" s="77"/>
    </row>
    <row r="149" spans="1:55" s="9" customFormat="1" ht="16.5">
      <c r="A149" s="8"/>
      <c r="B149" s="8"/>
      <c r="C149"/>
      <c r="D149"/>
      <c r="E149" t="s">
        <v>823</v>
      </c>
      <c r="F149" s="150" t="s">
        <v>888</v>
      </c>
      <c r="G149" s="43" t="str">
        <f>nominal</f>
        <v>£m nominal</v>
      </c>
      <c r="H149" s="150" t="s">
        <v>946</v>
      </c>
      <c r="I149" s="43"/>
      <c r="J149" s="43"/>
      <c r="K149" s="43"/>
      <c r="L149" s="43"/>
      <c r="M149" s="43"/>
      <c r="N149" s="43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  <c r="AA149" s="43"/>
      <c r="AB149" s="43"/>
      <c r="AC149" s="43"/>
      <c r="AD149" s="43"/>
      <c r="AE149" s="43"/>
      <c r="AF149" s="43"/>
      <c r="AG149" s="43"/>
      <c r="AH149" s="43"/>
      <c r="AI149" s="43"/>
      <c r="AJ149" s="43"/>
      <c r="AK149" s="43"/>
      <c r="AL149" s="43"/>
      <c r="AM149" s="43"/>
      <c r="AN149" s="43"/>
      <c r="AO149" s="43"/>
      <c r="AP149" s="43"/>
      <c r="AQ149" s="43"/>
      <c r="AR149" s="43"/>
      <c r="AS149" s="43"/>
      <c r="AT149" s="76"/>
      <c r="AU149" s="96">
        <f>SUM(AU143,AU147)</f>
        <v>-27.681067108085355</v>
      </c>
      <c r="AV149" s="61">
        <f t="shared" ref="AV149:AY149" si="39">SUM(AV143,AV147)</f>
        <v>0</v>
      </c>
      <c r="AW149" s="61">
        <f t="shared" si="39"/>
        <v>0</v>
      </c>
      <c r="AX149" s="61">
        <f t="shared" si="39"/>
        <v>0</v>
      </c>
      <c r="AY149" s="61">
        <f t="shared" si="39"/>
        <v>0</v>
      </c>
      <c r="AZ149" s="44"/>
      <c r="BA149" s="44" t="str">
        <f t="shared" ca="1" si="32"/>
        <v>Transform_SO</v>
      </c>
      <c r="BB149" s="44" t="str">
        <f t="shared" si="33"/>
        <v>Legacy adjustments</v>
      </c>
      <c r="BC149" s="44" t="str">
        <f t="shared" si="34"/>
        <v>Legacy adjustments</v>
      </c>
    </row>
    <row r="150" spans="1:55" s="9" customFormat="1">
      <c r="A150" s="8"/>
      <c r="B150" s="8"/>
      <c r="C150"/>
      <c r="D150"/>
      <c r="E150" s="43"/>
      <c r="F150" s="150"/>
      <c r="G150" s="43"/>
      <c r="H150" s="150"/>
      <c r="I150" s="43"/>
      <c r="J150" s="43"/>
      <c r="K150" s="43"/>
      <c r="L150" s="43"/>
      <c r="M150" s="43"/>
      <c r="N150" s="43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  <c r="AA150" s="43"/>
      <c r="AB150" s="43"/>
      <c r="AC150" s="43"/>
      <c r="AD150" s="43"/>
      <c r="AE150" s="43"/>
      <c r="AF150" s="43"/>
      <c r="AG150" s="43"/>
      <c r="AH150" s="43"/>
      <c r="AI150" s="43"/>
      <c r="AJ150" s="43"/>
      <c r="AK150" s="43"/>
      <c r="AL150" s="43"/>
      <c r="AM150" s="43"/>
      <c r="AN150" s="43"/>
      <c r="AO150" s="43"/>
      <c r="AP150" s="43"/>
      <c r="AQ150" s="43"/>
      <c r="AR150" s="43"/>
      <c r="AS150" s="43"/>
      <c r="AT150" s="76"/>
      <c r="AU150" s="43"/>
      <c r="AV150" s="43"/>
      <c r="AW150" s="43"/>
      <c r="AX150" s="43"/>
      <c r="AY150" s="43"/>
      <c r="AZ150" s="44"/>
      <c r="BA150" s="44"/>
      <c r="BB150" s="44"/>
    </row>
    <row r="151" spans="1:55" s="9" customFormat="1">
      <c r="A151" s="8"/>
      <c r="B151" s="8"/>
      <c r="C151"/>
      <c r="D151"/>
      <c r="E151" s="43"/>
      <c r="F151" s="150"/>
      <c r="G151" s="43"/>
      <c r="H151" s="150"/>
      <c r="I151" s="43"/>
      <c r="J151" s="43"/>
      <c r="K151" s="43"/>
      <c r="L151" s="43"/>
      <c r="M151" s="43"/>
      <c r="N151" s="43"/>
      <c r="O151" s="43"/>
      <c r="P151" s="43"/>
      <c r="Q151" s="43"/>
      <c r="R151" s="43"/>
      <c r="S151" s="43"/>
      <c r="T151" s="43"/>
      <c r="U151" s="43"/>
      <c r="V151" s="43"/>
      <c r="W151" s="43"/>
      <c r="X151" s="43"/>
      <c r="Y151" s="43"/>
      <c r="Z151" s="43"/>
      <c r="AA151" s="43"/>
      <c r="AB151" s="43"/>
      <c r="AC151" s="43"/>
      <c r="AD151" s="43"/>
      <c r="AE151" s="43"/>
      <c r="AF151" s="43"/>
      <c r="AG151" s="43"/>
      <c r="AH151" s="43"/>
      <c r="AI151" s="43"/>
      <c r="AJ151" s="43"/>
      <c r="AK151" s="43"/>
      <c r="AL151" s="43"/>
      <c r="AM151" s="43"/>
      <c r="AN151" s="43"/>
      <c r="AO151" s="43"/>
      <c r="AP151" s="43"/>
      <c r="AQ151" s="43"/>
      <c r="AR151" s="43"/>
      <c r="AS151" s="43"/>
      <c r="AT151" s="76"/>
      <c r="AU151" s="43"/>
      <c r="AV151" s="43"/>
      <c r="AW151" s="43"/>
      <c r="AX151" s="43"/>
      <c r="AY151" s="43"/>
      <c r="AZ151" s="44"/>
      <c r="BA151" s="44"/>
      <c r="BB151" s="44"/>
    </row>
    <row r="152" spans="1:55" s="9" customFormat="1">
      <c r="A152" s="8"/>
      <c r="B152" s="8"/>
      <c r="C152"/>
      <c r="D152"/>
      <c r="E152" s="43"/>
      <c r="F152" s="150"/>
      <c r="G152" s="43"/>
      <c r="H152" s="150"/>
      <c r="I152" s="43"/>
      <c r="J152" s="43"/>
      <c r="K152" s="43"/>
      <c r="L152" s="43"/>
      <c r="M152" s="43"/>
      <c r="N152" s="43"/>
      <c r="O152" s="43"/>
      <c r="P152" s="43"/>
      <c r="Q152" s="43"/>
      <c r="R152" s="43"/>
      <c r="S152" s="43"/>
      <c r="T152" s="43"/>
      <c r="U152" s="43"/>
      <c r="V152" s="43"/>
      <c r="W152" s="43"/>
      <c r="X152" s="43"/>
      <c r="Y152" s="43"/>
      <c r="Z152" s="43"/>
      <c r="AA152" s="43"/>
      <c r="AB152" s="43"/>
      <c r="AC152" s="43"/>
      <c r="AD152" s="43"/>
      <c r="AE152" s="43"/>
      <c r="AF152" s="43"/>
      <c r="AG152" s="43"/>
      <c r="AH152" s="43"/>
      <c r="AI152" s="43"/>
      <c r="AJ152" s="43"/>
      <c r="AK152" s="43"/>
      <c r="AL152" s="43"/>
      <c r="AM152" s="43"/>
      <c r="AN152" s="43"/>
      <c r="AO152" s="43"/>
      <c r="AP152" s="43"/>
      <c r="AQ152" s="43"/>
      <c r="AR152" s="43"/>
      <c r="AS152" s="43"/>
      <c r="AT152" s="76"/>
      <c r="AU152" s="43"/>
      <c r="AV152" s="43"/>
      <c r="AW152" s="43"/>
      <c r="AX152" s="43"/>
      <c r="AY152" s="43"/>
      <c r="AZ152" s="44"/>
      <c r="BA152" s="44"/>
      <c r="BB152" s="44"/>
    </row>
    <row r="153" spans="1:55" customFormat="1" ht="20" thickBot="1">
      <c r="A153" s="15" t="s">
        <v>241</v>
      </c>
      <c r="F153" s="151"/>
      <c r="H153" s="151"/>
      <c r="AT153" s="77"/>
      <c r="BA153" s="1"/>
      <c r="BB153" s="1"/>
    </row>
    <row r="154" spans="1:55"/>
    <row r="155" spans="1:55"/>
  </sheetData>
  <dataConsolidate/>
  <conditionalFormatting sqref="H1">
    <cfRule type="cellIs" dxfId="16" priority="1" operator="equal">
      <formula>"ERROR"</formula>
    </cfRule>
  </conditionalFormatting>
  <pageMargins left="0.23622047244094491" right="0.23622047244094491" top="0.74803149606299213" bottom="0.74803149606299213" header="0.31496062992125984" footer="0.31496062992125984"/>
  <pageSetup paperSize="8" fitToHeight="0" orientation="portrait" r:id="rId1"/>
  <headerFooter>
    <oddFooter>&amp;LDraft at &amp;D_x000D_&amp;1#&amp;"Aptos"&amp;10&amp;K000000 National Gas | Business Use&amp;R"&amp;A" sheet&amp;R"&amp;A" sheet&amp;R"&amp;A" sheet&amp;R"&amp;A" sheet&amp;R"&amp;A" sheet&amp;R"&amp;A" sheet&amp;R"&amp;A" sheet&amp;R"&amp;A" sheet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D367E-F2A0-4B0D-A62D-B81F13F6DB94}">
  <sheetPr codeName="Sheet5">
    <tabColor rgb="FFBAA0CC"/>
    <pageSetUpPr autoPageBreaks="0"/>
  </sheetPr>
  <dimension ref="A1:BG101"/>
  <sheetViews>
    <sheetView workbookViewId="0">
      <pane xSplit="10" ySplit="4" topLeftCell="AM5" activePane="bottomRight" state="frozen"/>
      <selection pane="topRight" activeCell="K1" sqref="K1"/>
      <selection pane="bottomLeft" activeCell="A5" sqref="A5"/>
      <selection pane="bottomRight"/>
    </sheetView>
  </sheetViews>
  <sheetFormatPr defaultColWidth="0" defaultRowHeight="16" zeroHeight="1" outlineLevelRow="1" outlineLevelCol="1"/>
  <cols>
    <col min="1" max="3" width="1.81640625" customWidth="1"/>
    <col min="4" max="4" width="15.7265625" customWidth="1"/>
    <col min="5" max="5" width="77.26953125" customWidth="1"/>
    <col min="6" max="6" width="8.7265625" customWidth="1"/>
    <col min="7" max="7" width="17.7265625" customWidth="1"/>
    <col min="8" max="8" width="9.7265625" customWidth="1"/>
    <col min="9" max="9" width="11.7265625" customWidth="1"/>
    <col min="10" max="10" width="2.08984375" customWidth="1"/>
    <col min="11" max="45" width="11.7265625" hidden="1" customWidth="1" outlineLevel="1"/>
    <col min="46" max="46" width="11.7265625" style="77" hidden="1" customWidth="1" outlineLevel="1"/>
    <col min="47" max="47" width="11.7265625" customWidth="1" collapsed="1"/>
    <col min="48" max="52" width="11.7265625" customWidth="1"/>
    <col min="53" max="55" width="10.7265625" style="1" customWidth="1"/>
    <col min="56" max="57" width="10.7265625" customWidth="1"/>
    <col min="58" max="58" width="1.7265625" style="8" customWidth="1"/>
    <col min="59" max="59" width="12.08984375" style="8" hidden="1" customWidth="1"/>
    <col min="60" max="16384" width="9.08984375" hidden="1"/>
  </cols>
  <sheetData>
    <row r="1" spans="1:56" s="119" customFormat="1" ht="14.5">
      <c r="A1" s="118" t="str" cm="1">
        <f t="array" aca="1" ref="A1" ca="1">MID(CELL("filename",$A$1),FIND("]",CELL("filename",$A$1))+1,255)</f>
        <v>Totex</v>
      </c>
      <c r="G1" s="119" t="s">
        <v>515</v>
      </c>
      <c r="H1" s="38" t="str">
        <f ca="1">Checks!I7</f>
        <v>ERROR</v>
      </c>
      <c r="AT1" s="124"/>
    </row>
    <row r="2" spans="1:56" s="119" customFormat="1" ht="15" customHeight="1">
      <c r="AT2" s="124"/>
    </row>
    <row r="3" spans="1:56" s="119" customFormat="1" ht="15" customHeight="1">
      <c r="E3" s="119" t="s">
        <v>0</v>
      </c>
      <c r="F3" s="119" t="s">
        <v>1</v>
      </c>
      <c r="G3" s="119" t="s">
        <v>2</v>
      </c>
      <c r="H3" s="119" t="s">
        <v>3</v>
      </c>
      <c r="I3" s="119" t="str">
        <f>NGT_TO!I3</f>
        <v>Constant</v>
      </c>
      <c r="AT3" s="124"/>
      <c r="AU3" s="122" t="str">
        <f>NGT_TO!AU3</f>
        <v>Annual values</v>
      </c>
    </row>
    <row r="4" spans="1:56" s="119" customFormat="1" ht="15" customHeight="1">
      <c r="D4" s="121" t="s">
        <v>421</v>
      </c>
      <c r="E4" s="119" t="s">
        <v>6</v>
      </c>
      <c r="K4" s="122">
        <f>NGT_TO!K4</f>
        <v>33328</v>
      </c>
      <c r="L4" s="122">
        <f>NGT_TO!L4</f>
        <v>33694</v>
      </c>
      <c r="M4" s="122">
        <f>NGT_TO!M4</f>
        <v>34059</v>
      </c>
      <c r="N4" s="122">
        <f>NGT_TO!N4</f>
        <v>34424</v>
      </c>
      <c r="O4" s="122">
        <f>NGT_TO!O4</f>
        <v>34789</v>
      </c>
      <c r="P4" s="122">
        <f>NGT_TO!P4</f>
        <v>35155</v>
      </c>
      <c r="Q4" s="122">
        <f>NGT_TO!Q4</f>
        <v>35520</v>
      </c>
      <c r="R4" s="122">
        <f>NGT_TO!R4</f>
        <v>35885</v>
      </c>
      <c r="S4" s="122">
        <f>NGT_TO!S4</f>
        <v>36250</v>
      </c>
      <c r="T4" s="122">
        <f>NGT_TO!T4</f>
        <v>36616</v>
      </c>
      <c r="U4" s="122">
        <f>NGT_TO!U4</f>
        <v>36981</v>
      </c>
      <c r="V4" s="122">
        <f>NGT_TO!V4</f>
        <v>37346</v>
      </c>
      <c r="W4" s="122">
        <f>NGT_TO!W4</f>
        <v>37711</v>
      </c>
      <c r="X4" s="122">
        <f>NGT_TO!X4</f>
        <v>38077</v>
      </c>
      <c r="Y4" s="122">
        <f>NGT_TO!Y4</f>
        <v>38442</v>
      </c>
      <c r="Z4" s="122">
        <f>NGT_TO!Z4</f>
        <v>38807</v>
      </c>
      <c r="AA4" s="122">
        <f>NGT_TO!AA4</f>
        <v>39172</v>
      </c>
      <c r="AB4" s="122">
        <f>NGT_TO!AB4</f>
        <v>39538</v>
      </c>
      <c r="AC4" s="122">
        <f>NGT_TO!AC4</f>
        <v>39903</v>
      </c>
      <c r="AD4" s="122">
        <f>NGT_TO!AD4</f>
        <v>40268</v>
      </c>
      <c r="AE4" s="122">
        <f>NGT_TO!AE4</f>
        <v>40633</v>
      </c>
      <c r="AF4" s="122">
        <f>NGT_TO!AF4</f>
        <v>40999</v>
      </c>
      <c r="AG4" s="122">
        <f>NGT_TO!AG4</f>
        <v>41364</v>
      </c>
      <c r="AH4" s="122">
        <f>NGT_TO!AH4</f>
        <v>41729</v>
      </c>
      <c r="AI4" s="122">
        <f>NGT_TO!AI4</f>
        <v>42094</v>
      </c>
      <c r="AJ4" s="122">
        <f>NGT_TO!AJ4</f>
        <v>42460</v>
      </c>
      <c r="AK4" s="122">
        <f>NGT_TO!AK4</f>
        <v>42825</v>
      </c>
      <c r="AL4" s="122">
        <f>NGT_TO!AL4</f>
        <v>43190</v>
      </c>
      <c r="AM4" s="122">
        <f>NGT_TO!AM4</f>
        <v>43555</v>
      </c>
      <c r="AN4" s="122">
        <f>NGT_TO!AN4</f>
        <v>43921</v>
      </c>
      <c r="AO4" s="122">
        <f>NGT_TO!AO4</f>
        <v>44286</v>
      </c>
      <c r="AP4" s="122">
        <f>NGT_TO!AP4</f>
        <v>44651</v>
      </c>
      <c r="AQ4" s="122">
        <f>NGT_TO!AQ4</f>
        <v>45016</v>
      </c>
      <c r="AR4" s="122">
        <f>NGT_TO!AR4</f>
        <v>45382</v>
      </c>
      <c r="AS4" s="122">
        <f>NGT_TO!AS4</f>
        <v>45747</v>
      </c>
      <c r="AT4" s="123">
        <f>NGT_TO!AT4</f>
        <v>46112</v>
      </c>
      <c r="AU4" s="122">
        <f>NGT_TO!AU4</f>
        <v>46477</v>
      </c>
      <c r="AV4" s="122">
        <f>NGT_TO!AV4</f>
        <v>46843</v>
      </c>
      <c r="AW4" s="122">
        <f>NGT_TO!AW4</f>
        <v>47208</v>
      </c>
      <c r="AX4" s="122">
        <f>NGT_TO!AX4</f>
        <v>47573</v>
      </c>
      <c r="AY4" s="122">
        <f>NGT_TO!AY4</f>
        <v>47938</v>
      </c>
      <c r="BA4" s="127" t="s">
        <v>527</v>
      </c>
      <c r="BB4" s="127" t="s">
        <v>528</v>
      </c>
      <c r="BC4" s="127" t="s">
        <v>529</v>
      </c>
      <c r="BD4" s="127" t="s">
        <v>530</v>
      </c>
    </row>
    <row r="5" spans="1:56"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  <c r="AL5" s="68"/>
      <c r="AM5" s="68"/>
      <c r="AN5" s="68"/>
      <c r="AO5" s="68"/>
      <c r="AP5" s="68"/>
      <c r="AQ5" s="68"/>
      <c r="AR5" s="68"/>
      <c r="AS5" s="68"/>
      <c r="AT5" s="98"/>
      <c r="AU5" s="68"/>
      <c r="AV5" s="68"/>
      <c r="AW5" s="68"/>
      <c r="AX5" s="68"/>
      <c r="AY5" s="68"/>
    </row>
    <row r="6" spans="1:56" ht="20" thickBot="1">
      <c r="A6" s="15" t="s">
        <v>400</v>
      </c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  <c r="AN6" s="68"/>
      <c r="AO6" s="68"/>
    </row>
    <row r="7" spans="1:56" ht="16.5" outlineLevel="1" thickTop="1">
      <c r="D7" s="1" t="str" cm="1">
        <f t="array" aca="1" ref="D7" ca="1">IFERROR(MID(_xlfn.FORMULATEXT(I7),FIND("=",_xlfn.FORMULATEXT(I7))+1,FIND("!",_xlfn.FORMULATEXT(I7))-2),MID(_xlfn.FORMULATEXT(INDEX(L7:AV7,MATCH(FALSE,ISBLANK(L7:AV7),0))),FIND("=",_xlfn.FORMULATEXT(INDEX(L7:AV7,MATCH(FALSE,ISBLANK(L7:AV7),0))))+1,FIND("!",_xlfn.FORMULATEXT(INDEX(L7:AV7,MATCH(FALSE,ISBLANK(L7:AV7),0))))-2))</f>
        <v>Transform_TO</v>
      </c>
      <c r="E7" t="s">
        <v>728</v>
      </c>
      <c r="G7" t="str">
        <f t="shared" ref="G7:G12" si="0">price_label</f>
        <v>£m 23/24 prices</v>
      </c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  <c r="AN7" s="68"/>
      <c r="AO7" s="68"/>
      <c r="AU7" s="95">
        <f>Transform_TO!AU32</f>
        <v>0</v>
      </c>
      <c r="AV7" s="69">
        <f>Transform_TO!AV32</f>
        <v>0</v>
      </c>
      <c r="AW7" s="69">
        <f>Transform_TO!AW32</f>
        <v>0</v>
      </c>
      <c r="AX7" s="69">
        <f>Transform_TO!AX32</f>
        <v>0</v>
      </c>
      <c r="AY7" s="69">
        <f>Transform_TO!AY32</f>
        <v>0</v>
      </c>
    </row>
    <row r="8" spans="1:56" outlineLevel="1">
      <c r="D8" s="1" t="str" cm="1">
        <f t="array" aca="1" ref="D8" ca="1">IFERROR(MID(_xlfn.FORMULATEXT(I8),FIND("=",_xlfn.FORMULATEXT(I8))+1,FIND("!",_xlfn.FORMULATEXT(I8))-2),MID(_xlfn.FORMULATEXT(INDEX(L8:AV8,MATCH(FALSE,ISBLANK(L8:AV8),0))),FIND("=",_xlfn.FORMULATEXT(INDEX(L8:AV8,MATCH(FALSE,ISBLANK(L8:AV8),0))))+1,FIND("!",_xlfn.FORMULATEXT(INDEX(L8:AV8,MATCH(FALSE,ISBLANK(L8:AV8),0))))-2))</f>
        <v>Transform_TO</v>
      </c>
      <c r="E8" t="s">
        <v>729</v>
      </c>
      <c r="G8" t="str">
        <f t="shared" si="0"/>
        <v>£m 23/24 prices</v>
      </c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  <c r="AO8" s="68"/>
      <c r="AU8" s="95">
        <f>Transform_TO!AU33</f>
        <v>46.742049016897198</v>
      </c>
      <c r="AV8" s="69">
        <f>Transform_TO!AV33</f>
        <v>28.676960374728854</v>
      </c>
      <c r="AW8" s="69">
        <f>Transform_TO!AW33</f>
        <v>34.680301116982655</v>
      </c>
      <c r="AX8" s="69">
        <f>Transform_TO!AX33</f>
        <v>27.356934806026523</v>
      </c>
      <c r="AY8" s="69">
        <f>Transform_TO!AY33</f>
        <v>39.306574257187094</v>
      </c>
    </row>
    <row r="9" spans="1:56" outlineLevel="1">
      <c r="D9" s="1" t="str" cm="1">
        <f t="array" aca="1" ref="D9" ca="1">IFERROR(MID(_xlfn.FORMULATEXT(I9),FIND("=",_xlfn.FORMULATEXT(I9))+1,FIND("!",_xlfn.FORMULATEXT(I9))-2),MID(_xlfn.FORMULATEXT(INDEX(L9:AV9,MATCH(FALSE,ISBLANK(L9:AV9),0))),FIND("=",_xlfn.FORMULATEXT(INDEX(L9:AV9,MATCH(FALSE,ISBLANK(L9:AV9),0))))+1,FIND("!",_xlfn.FORMULATEXT(INDEX(L9:AV9,MATCH(FALSE,ISBLANK(L9:AV9),0))))-2))</f>
        <v>Transform_TO</v>
      </c>
      <c r="E9" t="s">
        <v>730</v>
      </c>
      <c r="G9" t="str">
        <f t="shared" si="0"/>
        <v>£m 23/24 prices</v>
      </c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U9" s="95">
        <f>Transform_TO!AU34</f>
        <v>0</v>
      </c>
      <c r="AV9" s="69">
        <f>Transform_TO!AV34</f>
        <v>0</v>
      </c>
      <c r="AW9" s="69">
        <f>Transform_TO!AW34</f>
        <v>0</v>
      </c>
      <c r="AX9" s="69">
        <f>Transform_TO!AX34</f>
        <v>0</v>
      </c>
      <c r="AY9" s="69">
        <f>Transform_TO!AY34</f>
        <v>0</v>
      </c>
    </row>
    <row r="10" spans="1:56" outlineLevel="1">
      <c r="D10" s="1" t="str" cm="1">
        <f t="array" aca="1" ref="D10" ca="1">IFERROR(MID(_xlfn.FORMULATEXT(I10),FIND("=",_xlfn.FORMULATEXT(I10))+1,FIND("!",_xlfn.FORMULATEXT(I10))-2),MID(_xlfn.FORMULATEXT(INDEX(L10:AV10,MATCH(FALSE,ISBLANK(L10:AV10),0))),FIND("=",_xlfn.FORMULATEXT(INDEX(L10:AV10,MATCH(FALSE,ISBLANK(L10:AV10),0))))+1,FIND("!",_xlfn.FORMULATEXT(INDEX(L10:AV10,MATCH(FALSE,ISBLANK(L10:AV10),0))))-2))</f>
        <v>Transform_TO</v>
      </c>
      <c r="E10" t="s">
        <v>731</v>
      </c>
      <c r="G10" t="str">
        <f t="shared" si="0"/>
        <v>£m 23/24 prices</v>
      </c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U10" s="95">
        <f>Transform_TO!AU35</f>
        <v>72.02038467401124</v>
      </c>
      <c r="AV10" s="69">
        <f>Transform_TO!AV35</f>
        <v>69.610838432389031</v>
      </c>
      <c r="AW10" s="69">
        <f>Transform_TO!AW35</f>
        <v>44.226892032388918</v>
      </c>
      <c r="AX10" s="69">
        <f>Transform_TO!AX35</f>
        <v>32.66063179162952</v>
      </c>
      <c r="AY10" s="69">
        <f>Transform_TO!AY35</f>
        <v>33.476961810953547</v>
      </c>
    </row>
    <row r="11" spans="1:56" outlineLevel="1">
      <c r="D11" s="1" t="str" cm="1">
        <f t="array" aca="1" ref="D11" ca="1">IFERROR(MID(_xlfn.FORMULATEXT(I11),FIND("=",_xlfn.FORMULATEXT(I11))+1,FIND("!",_xlfn.FORMULATEXT(I11))-2),MID(_xlfn.FORMULATEXT(INDEX(L11:AV11,MATCH(FALSE,ISBLANK(L11:AV11),0))),FIND("=",_xlfn.FORMULATEXT(INDEX(L11:AV11,MATCH(FALSE,ISBLANK(L11:AV11),0))))+1,FIND("!",_xlfn.FORMULATEXT(INDEX(L11:AV11,MATCH(FALSE,ISBLANK(L11:AV11),0))))-2))</f>
        <v>Transform_TO</v>
      </c>
      <c r="E11" t="s">
        <v>732</v>
      </c>
      <c r="G11" t="str">
        <f t="shared" si="0"/>
        <v>£m 23/24 prices</v>
      </c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U11" s="95">
        <f>Transform_TO!AU36</f>
        <v>60.716862344848764</v>
      </c>
      <c r="AV11" s="69">
        <f>Transform_TO!AV36</f>
        <v>60.838200634997847</v>
      </c>
      <c r="AW11" s="69">
        <f>Transform_TO!AW36</f>
        <v>60.990137933456928</v>
      </c>
      <c r="AX11" s="69">
        <f>Transform_TO!AX36</f>
        <v>61.353903751083408</v>
      </c>
      <c r="AY11" s="69">
        <f>Transform_TO!AY36</f>
        <v>61.423726260329175</v>
      </c>
    </row>
    <row r="12" spans="1:56" outlineLevel="1">
      <c r="D12" s="1" t="str" cm="1">
        <f t="array" aca="1" ref="D12" ca="1">IFERROR(MID(_xlfn.FORMULATEXT(I12),FIND("=",_xlfn.FORMULATEXT(I12))+1,FIND("!",_xlfn.FORMULATEXT(I12))-2),MID(_xlfn.FORMULATEXT(INDEX(L12:AV12,MATCH(FALSE,ISBLANK(L12:AV12),0))),FIND("=",_xlfn.FORMULATEXT(INDEX(L12:AV12,MATCH(FALSE,ISBLANK(L12:AV12),0))))+1,FIND("!",_xlfn.FORMULATEXT(INDEX(L12:AV12,MATCH(FALSE,ISBLANK(L12:AV12),0))))-2))</f>
        <v>Transform_TO</v>
      </c>
      <c r="E12" t="s">
        <v>733</v>
      </c>
      <c r="G12" t="str">
        <f t="shared" si="0"/>
        <v>£m 23/24 prices</v>
      </c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G12" s="68"/>
      <c r="AH12" s="68"/>
      <c r="AI12" s="68"/>
      <c r="AJ12" s="68"/>
      <c r="AK12" s="68"/>
      <c r="AL12" s="68"/>
      <c r="AM12" s="68"/>
      <c r="AN12" s="68"/>
      <c r="AO12" s="68"/>
      <c r="AU12" s="95">
        <f>Transform_TO!AU37</f>
        <v>125.90332576919576</v>
      </c>
      <c r="AV12" s="69">
        <f>Transform_TO!AV37</f>
        <v>126.80168199708554</v>
      </c>
      <c r="AW12" s="69">
        <f>Transform_TO!AW37</f>
        <v>126.04722697607373</v>
      </c>
      <c r="AX12" s="69">
        <f>Transform_TO!AX37</f>
        <v>121.21027695637338</v>
      </c>
      <c r="AY12" s="69">
        <f>Transform_TO!AY37</f>
        <v>116.87426593597758</v>
      </c>
    </row>
    <row r="13" spans="1:56" outlineLevel="1"/>
    <row r="14" spans="1:56" outlineLevel="1">
      <c r="D14" s="1" t="str" cm="1">
        <f t="array" aca="1" ref="D14" ca="1">IFERROR(MID(_xlfn.FORMULATEXT(I14),FIND("=",_xlfn.FORMULATEXT(I14))+1,FIND("!",_xlfn.FORMULATEXT(I14))-2),MID(_xlfn.FORMULATEXT(INDEX(L14:AV14,MATCH(FALSE,ISBLANK(L14:AV14),0))),FIND("=",_xlfn.FORMULATEXT(INDEX(L14:AV14,MATCH(FALSE,ISBLANK(L14:AV14),0))))+1,FIND("!",_xlfn.FORMULATEXT(INDEX(L14:AV14,MATCH(FALSE,ISBLANK(L14:AV14),0))))-2))</f>
        <v>VariantAllowances</v>
      </c>
      <c r="E14" t="s">
        <v>702</v>
      </c>
      <c r="G14" t="str">
        <f t="shared" ref="G14:G19" si="1">price_label</f>
        <v>£m 23/24 prices</v>
      </c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68"/>
      <c r="X14" s="68"/>
      <c r="Y14" s="68"/>
      <c r="Z14" s="68"/>
      <c r="AA14" s="68"/>
      <c r="AB14" s="68"/>
      <c r="AC14" s="68"/>
      <c r="AD14" s="68"/>
      <c r="AE14" s="68"/>
      <c r="AF14" s="68"/>
      <c r="AG14" s="68"/>
      <c r="AH14" s="68"/>
      <c r="AI14" s="68"/>
      <c r="AJ14" s="68"/>
      <c r="AK14" s="68"/>
      <c r="AL14" s="68"/>
      <c r="AM14" s="68"/>
      <c r="AN14" s="68"/>
      <c r="AO14" s="68"/>
      <c r="AU14" s="95">
        <f>VariantAllowances!AU645</f>
        <v>6.083254347769862</v>
      </c>
      <c r="AV14" s="69">
        <f>VariantAllowances!AV645</f>
        <v>8.0254791671583572</v>
      </c>
      <c r="AW14" s="69">
        <f>VariantAllowances!AW645</f>
        <v>6.7819269838536229</v>
      </c>
      <c r="AX14" s="69">
        <f>VariantAllowances!AX645</f>
        <v>9.3493801699930099</v>
      </c>
      <c r="AY14" s="69">
        <f>VariantAllowances!AY645</f>
        <v>9.295886368293079</v>
      </c>
    </row>
    <row r="15" spans="1:56" outlineLevel="1">
      <c r="D15" s="1" t="str" cm="1">
        <f t="array" aca="1" ref="D15" ca="1">IFERROR(MID(_xlfn.FORMULATEXT(I15),FIND("=",_xlfn.FORMULATEXT(I15))+1,FIND("!",_xlfn.FORMULATEXT(I15))-2),MID(_xlfn.FORMULATEXT(INDEX(L15:AV15,MATCH(FALSE,ISBLANK(L15:AV15),0))),FIND("=",_xlfn.FORMULATEXT(INDEX(L15:AV15,MATCH(FALSE,ISBLANK(L15:AV15),0))))+1,FIND("!",_xlfn.FORMULATEXT(INDEX(L15:AV15,MATCH(FALSE,ISBLANK(L15:AV15),0))))-2))</f>
        <v>VariantAllowances</v>
      </c>
      <c r="E15" t="s">
        <v>703</v>
      </c>
      <c r="G15" t="str">
        <f t="shared" si="1"/>
        <v>£m 23/24 prices</v>
      </c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U15" s="95">
        <f>VariantAllowances!AU646</f>
        <v>126.04101218083893</v>
      </c>
      <c r="AV15" s="69">
        <f>VariantAllowances!AV646</f>
        <v>137.71402808202726</v>
      </c>
      <c r="AW15" s="69">
        <f>VariantAllowances!AW646</f>
        <v>189.88477796480049</v>
      </c>
      <c r="AX15" s="69">
        <f>VariantAllowances!AX646</f>
        <v>178.43301374056222</v>
      </c>
      <c r="AY15" s="69">
        <f>VariantAllowances!AY646</f>
        <v>212.9190568745976</v>
      </c>
    </row>
    <row r="16" spans="1:56" outlineLevel="1">
      <c r="D16" s="1" t="str" cm="1">
        <f t="array" aca="1" ref="D16" ca="1">IFERROR(MID(_xlfn.FORMULATEXT(I16),FIND("=",_xlfn.FORMULATEXT(I16))+1,FIND("!",_xlfn.FORMULATEXT(I16))-2),MID(_xlfn.FORMULATEXT(INDEX(L16:AV16,MATCH(FALSE,ISBLANK(L16:AV16),0))),FIND("=",_xlfn.FORMULATEXT(INDEX(L16:AV16,MATCH(FALSE,ISBLANK(L16:AV16),0))))+1,FIND("!",_xlfn.FORMULATEXT(INDEX(L16:AV16,MATCH(FALSE,ISBLANK(L16:AV16),0))))-2))</f>
        <v>VariantAllowances</v>
      </c>
      <c r="E16" t="s">
        <v>704</v>
      </c>
      <c r="G16" t="str">
        <f t="shared" si="1"/>
        <v>£m 23/24 prices</v>
      </c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  <c r="AL16" s="68"/>
      <c r="AM16" s="68"/>
      <c r="AN16" s="68"/>
      <c r="AO16" s="68"/>
      <c r="AU16" s="95">
        <f>VariantAllowances!AU647</f>
        <v>68.265749816546759</v>
      </c>
      <c r="AV16" s="69">
        <f>VariantAllowances!AV647</f>
        <v>74.609207266144622</v>
      </c>
      <c r="AW16" s="69">
        <f>VariantAllowances!AW647</f>
        <v>66.609324763270081</v>
      </c>
      <c r="AX16" s="69">
        <f>VariantAllowances!AX647</f>
        <v>56.859805367227835</v>
      </c>
      <c r="AY16" s="69">
        <f>VariantAllowances!AY647</f>
        <v>51.682832774284691</v>
      </c>
      <c r="BA16" s="44"/>
      <c r="BC16" s="19"/>
    </row>
    <row r="17" spans="4:59" outlineLevel="1">
      <c r="D17" s="1" t="str" cm="1">
        <f t="array" aca="1" ref="D17" ca="1">IFERROR(MID(_xlfn.FORMULATEXT(I17),FIND("=",_xlfn.FORMULATEXT(I17))+1,FIND("!",_xlfn.FORMULATEXT(I17))-2),MID(_xlfn.FORMULATEXT(INDEX(L17:AV17,MATCH(FALSE,ISBLANK(L17:AV17),0))),FIND("=",_xlfn.FORMULATEXT(INDEX(L17:AV17,MATCH(FALSE,ISBLANK(L17:AV17),0))))+1,FIND("!",_xlfn.FORMULATEXT(INDEX(L17:AV17,MATCH(FALSE,ISBLANK(L17:AV17),0))))-2))</f>
        <v>VariantAllowances</v>
      </c>
      <c r="E17" t="s">
        <v>705</v>
      </c>
      <c r="G17" t="str">
        <f t="shared" si="1"/>
        <v>£m 23/24 prices</v>
      </c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U17" s="95">
        <f>VariantAllowances!AU648</f>
        <v>-0.44713204645350102</v>
      </c>
      <c r="AV17" s="69">
        <f>VariantAllowances!AV648</f>
        <v>0.34262846088832655</v>
      </c>
      <c r="AW17" s="69">
        <f>VariantAllowances!AW648</f>
        <v>0.8088001538500833</v>
      </c>
      <c r="AX17" s="69">
        <f>VariantAllowances!AX648</f>
        <v>1.0562411528119191</v>
      </c>
      <c r="AY17" s="69">
        <f>VariantAllowances!AY648</f>
        <v>1.6079471390409039</v>
      </c>
      <c r="BA17" s="44"/>
      <c r="BC17" s="19"/>
    </row>
    <row r="18" spans="4:59" outlineLevel="1">
      <c r="D18" s="1" t="str" cm="1">
        <f t="array" aca="1" ref="D18" ca="1">IFERROR(MID(_xlfn.FORMULATEXT(I18),FIND("=",_xlfn.FORMULATEXT(I18))+1,FIND("!",_xlfn.FORMULATEXT(I18))-2),MID(_xlfn.FORMULATEXT(INDEX(L18:AV18,MATCH(FALSE,ISBLANK(L18:AV18),0))),FIND("=",_xlfn.FORMULATEXT(INDEX(L18:AV18,MATCH(FALSE,ISBLANK(L18:AV18),0))))+1,FIND("!",_xlfn.FORMULATEXT(INDEX(L18:AV18,MATCH(FALSE,ISBLANK(L18:AV18),0))))-2))</f>
        <v>VariantAllowances</v>
      </c>
      <c r="E18" t="s">
        <v>706</v>
      </c>
      <c r="G18" t="str">
        <f t="shared" si="1"/>
        <v>£m 23/24 prices</v>
      </c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  <c r="AO18" s="68"/>
      <c r="AU18" s="95">
        <f>VariantAllowances!AU649</f>
        <v>-0.37695515009217023</v>
      </c>
      <c r="AV18" s="69">
        <f>VariantAllowances!AV649</f>
        <v>0.29944904437590653</v>
      </c>
      <c r="AW18" s="69">
        <f>VariantAllowances!AW649</f>
        <v>1.1153583414315553</v>
      </c>
      <c r="AX18" s="69">
        <f>VariantAllowances!AX649</f>
        <v>1.984178335587629</v>
      </c>
      <c r="AY18" s="69">
        <f>VariantAllowances!AY649</f>
        <v>2.9502708599205083</v>
      </c>
      <c r="BA18" s="44"/>
      <c r="BC18" s="19"/>
    </row>
    <row r="19" spans="4:59" outlineLevel="1">
      <c r="D19" s="1" t="str" cm="1">
        <f t="array" aca="1" ref="D19" ca="1">IFERROR(MID(_xlfn.FORMULATEXT(I19),FIND("=",_xlfn.FORMULATEXT(I19))+1,FIND("!",_xlfn.FORMULATEXT(I19))-2),MID(_xlfn.FORMULATEXT(INDEX(L19:AV19,MATCH(FALSE,ISBLANK(L19:AV19),0))),FIND("=",_xlfn.FORMULATEXT(INDEX(L19:AV19,MATCH(FALSE,ISBLANK(L19:AV19),0))))+1,FIND("!",_xlfn.FORMULATEXT(INDEX(L19:AV19,MATCH(FALSE,ISBLANK(L19:AV19),0))))-2))</f>
        <v>VariantAllowances</v>
      </c>
      <c r="E19" t="s">
        <v>707</v>
      </c>
      <c r="G19" t="str">
        <f t="shared" si="1"/>
        <v>£m 23/24 prices</v>
      </c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U19" s="95">
        <f>VariantAllowances!AU650</f>
        <v>26.157946638918151</v>
      </c>
      <c r="AV19" s="69">
        <f>VariantAllowances!AV650</f>
        <v>29.238936763094515</v>
      </c>
      <c r="AW19" s="69">
        <f>VariantAllowances!AW650</f>
        <v>30.586986622678808</v>
      </c>
      <c r="AX19" s="69">
        <f>VariantAllowances!AX650</f>
        <v>25.365255693654667</v>
      </c>
      <c r="AY19" s="69">
        <f>VariantAllowances!AY650</f>
        <v>25.683455622318224</v>
      </c>
      <c r="BA19" s="44"/>
      <c r="BC19" s="19"/>
    </row>
    <row r="20" spans="4:59" outlineLevel="1">
      <c r="D20" s="1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U20" s="3"/>
      <c r="AV20" s="3"/>
      <c r="AW20" s="3"/>
      <c r="AX20" s="3"/>
      <c r="AY20" s="3"/>
      <c r="BA20" s="44"/>
      <c r="BC20" s="19"/>
    </row>
    <row r="21" spans="4:59" outlineLevel="1">
      <c r="D21" s="1" t="str" cm="1">
        <f t="array" aca="1" ref="D21" ca="1">IFERROR(MID(_xlfn.FORMULATEXT(I21),FIND("=",_xlfn.FORMULATEXT(I21))+1,FIND("!",_xlfn.FORMULATEXT(I21))-2),MID(_xlfn.FORMULATEXT(INDEX(L21:AV21,MATCH(FALSE,ISBLANK(L21:AV21),0))),FIND("=",_xlfn.FORMULATEXT(INDEX(L21:AV21,MATCH(FALSE,ISBLANK(L21:AV21),0))))+1,FIND("!",_xlfn.FORMULATEXT(INDEX(L21:AV21,MATCH(FALSE,ISBLANK(L21:AV21),0))))-2))</f>
        <v>VariantAllowances</v>
      </c>
      <c r="E21" t="s">
        <v>708</v>
      </c>
      <c r="G21" t="str">
        <f t="shared" ref="G21:G26" si="2">price_label</f>
        <v>£m 23/24 prices</v>
      </c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U21" s="95">
        <f>VariantAllowances!AU653</f>
        <v>0</v>
      </c>
      <c r="AV21" s="69">
        <f>VariantAllowances!AV653</f>
        <v>0</v>
      </c>
      <c r="AW21" s="69">
        <f>VariantAllowances!AW653</f>
        <v>4.1438633008999997</v>
      </c>
      <c r="AX21" s="69">
        <f>VariantAllowances!AX653</f>
        <v>5.5312558833999992</v>
      </c>
      <c r="AY21" s="69">
        <f>VariantAllowances!AY653</f>
        <v>8.7157826651000008</v>
      </c>
      <c r="BA21" s="44"/>
      <c r="BC21" s="19"/>
    </row>
    <row r="22" spans="4:59" outlineLevel="1">
      <c r="D22" s="1" t="str" cm="1">
        <f t="array" aca="1" ref="D22" ca="1">IFERROR(MID(_xlfn.FORMULATEXT(I22),FIND("=",_xlfn.FORMULATEXT(I22))+1,FIND("!",_xlfn.FORMULATEXT(I22))-2),MID(_xlfn.FORMULATEXT(INDEX(L22:AV22,MATCH(FALSE,ISBLANK(L22:AV22),0))),FIND("=",_xlfn.FORMULATEXT(INDEX(L22:AV22,MATCH(FALSE,ISBLANK(L22:AV22),0))))+1,FIND("!",_xlfn.FORMULATEXT(INDEX(L22:AV22,MATCH(FALSE,ISBLANK(L22:AV22),0))))-2))</f>
        <v>VariantAllowances</v>
      </c>
      <c r="E22" t="s">
        <v>709</v>
      </c>
      <c r="G22" t="str">
        <f t="shared" si="2"/>
        <v>£m 23/24 prices</v>
      </c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  <c r="AO22" s="68"/>
      <c r="AU22" s="95">
        <f>VariantAllowances!AU654</f>
        <v>268.41056601925101</v>
      </c>
      <c r="AV22" s="69">
        <f>VariantAllowances!AV654</f>
        <v>485.52581923988947</v>
      </c>
      <c r="AW22" s="69">
        <f>VariantAllowances!AW654</f>
        <v>469.30809664339171</v>
      </c>
      <c r="AX22" s="69">
        <f>VariantAllowances!AX654</f>
        <v>262.41109171892725</v>
      </c>
      <c r="AY22" s="69">
        <f>VariantAllowances!AY654</f>
        <v>188.88912319488645</v>
      </c>
      <c r="BA22" s="44"/>
      <c r="BC22" s="19"/>
    </row>
    <row r="23" spans="4:59" outlineLevel="1">
      <c r="D23" s="1" t="str" cm="1">
        <f t="array" aca="1" ref="D23" ca="1">IFERROR(MID(_xlfn.FORMULATEXT(I23),FIND("=",_xlfn.FORMULATEXT(I23))+1,FIND("!",_xlfn.FORMULATEXT(I23))-2),MID(_xlfn.FORMULATEXT(INDEX(L23:AV23,MATCH(FALSE,ISBLANK(L23:AV23),0))),FIND("=",_xlfn.FORMULATEXT(INDEX(L23:AV23,MATCH(FALSE,ISBLANK(L23:AV23),0))))+1,FIND("!",_xlfn.FORMULATEXT(INDEX(L23:AV23,MATCH(FALSE,ISBLANK(L23:AV23),0))))-2))</f>
        <v>VariantAllowances</v>
      </c>
      <c r="E23" t="s">
        <v>710</v>
      </c>
      <c r="G23" t="str">
        <f t="shared" si="2"/>
        <v>£m 23/24 prices</v>
      </c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U23" s="95">
        <f>VariantAllowances!AU655</f>
        <v>41.924399999999999</v>
      </c>
      <c r="AV23" s="69">
        <f>VariantAllowances!AV655</f>
        <v>23.305800000000001</v>
      </c>
      <c r="AW23" s="69">
        <f>VariantAllowances!AW655</f>
        <v>42.04279330751659</v>
      </c>
      <c r="AX23" s="69">
        <f>VariantAllowances!AX655</f>
        <v>20.390050887908291</v>
      </c>
      <c r="AY23" s="69">
        <f>VariantAllowances!AY655</f>
        <v>0</v>
      </c>
      <c r="BA23" s="44"/>
      <c r="BC23" s="19"/>
    </row>
    <row r="24" spans="4:59" outlineLevel="1">
      <c r="D24" s="1" t="str" cm="1">
        <f t="array" aca="1" ref="D24" ca="1">IFERROR(MID(_xlfn.FORMULATEXT(I24),FIND("=",_xlfn.FORMULATEXT(I24))+1,FIND("!",_xlfn.FORMULATEXT(I24))-2),MID(_xlfn.FORMULATEXT(INDEX(L24:AV24,MATCH(FALSE,ISBLANK(L24:AV24),0))),FIND("=",_xlfn.FORMULATEXT(INDEX(L24:AV24,MATCH(FALSE,ISBLANK(L24:AV24),0))))+1,FIND("!",_xlfn.FORMULATEXT(INDEX(L24:AV24,MATCH(FALSE,ISBLANK(L24:AV24),0))))-2))</f>
        <v>VariantAllowances</v>
      </c>
      <c r="E24" t="s">
        <v>711</v>
      </c>
      <c r="G24" t="str">
        <f t="shared" si="2"/>
        <v>£m 23/24 prices</v>
      </c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  <c r="AO24" s="68"/>
      <c r="AU24" s="95">
        <f>VariantAllowances!AU656</f>
        <v>3.9774560287488208</v>
      </c>
      <c r="AV24" s="69">
        <f>VariantAllowances!AV656</f>
        <v>15.031516864081985</v>
      </c>
      <c r="AW24" s="69">
        <f>VariantAllowances!AW656</f>
        <v>26.03780420456145</v>
      </c>
      <c r="AX24" s="69">
        <f>VariantAllowances!AX656</f>
        <v>6.6426575517922135</v>
      </c>
      <c r="AY24" s="69">
        <f>VariantAllowances!AY656</f>
        <v>0.41059197630307315</v>
      </c>
      <c r="BA24" s="44"/>
      <c r="BC24" s="19"/>
    </row>
    <row r="25" spans="4:59" outlineLevel="1">
      <c r="D25" s="1" t="str" cm="1">
        <f t="array" aca="1" ref="D25" ca="1">IFERROR(MID(_xlfn.FORMULATEXT(I25),FIND("=",_xlfn.FORMULATEXT(I25))+1,FIND("!",_xlfn.FORMULATEXT(I25))-2),MID(_xlfn.FORMULATEXT(INDEX(L25:AV25,MATCH(FALSE,ISBLANK(L25:AV25),0))),FIND("=",_xlfn.FORMULATEXT(INDEX(L25:AV25,MATCH(FALSE,ISBLANK(L25:AV25),0))))+1,FIND("!",_xlfn.FORMULATEXT(INDEX(L25:AV25,MATCH(FALSE,ISBLANK(L25:AV25),0))))-2))</f>
        <v>VariantAllowances</v>
      </c>
      <c r="E25" t="s">
        <v>712</v>
      </c>
      <c r="G25" t="str">
        <f t="shared" si="2"/>
        <v>£m 23/24 prices</v>
      </c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8"/>
      <c r="AJ25" s="68"/>
      <c r="AK25" s="68"/>
      <c r="AL25" s="68"/>
      <c r="AM25" s="68"/>
      <c r="AN25" s="68"/>
      <c r="AO25" s="68"/>
      <c r="AU25" s="95">
        <f>VariantAllowances!AU657</f>
        <v>3.1556000000000002</v>
      </c>
      <c r="AV25" s="69">
        <f>VariantAllowances!AV657</f>
        <v>1.7542</v>
      </c>
      <c r="AW25" s="69">
        <f>VariantAllowances!AW657</f>
        <v>1.7542</v>
      </c>
      <c r="AX25" s="69">
        <f>VariantAllowances!AX657</f>
        <v>0</v>
      </c>
      <c r="AY25" s="69">
        <f>VariantAllowances!AY657</f>
        <v>0</v>
      </c>
      <c r="BA25" s="44"/>
      <c r="BC25" s="19"/>
    </row>
    <row r="26" spans="4:59" outlineLevel="1">
      <c r="D26" s="1" t="str" cm="1">
        <f t="array" aca="1" ref="D26" ca="1">IFERROR(MID(_xlfn.FORMULATEXT(I26),FIND("=",_xlfn.FORMULATEXT(I26))+1,FIND("!",_xlfn.FORMULATEXT(I26))-2),MID(_xlfn.FORMULATEXT(INDEX(L26:AV26,MATCH(FALSE,ISBLANK(L26:AV26),0))),FIND("=",_xlfn.FORMULATEXT(INDEX(L26:AV26,MATCH(FALSE,ISBLANK(L26:AV26),0))))+1,FIND("!",_xlfn.FORMULATEXT(INDEX(L26:AV26,MATCH(FALSE,ISBLANK(L26:AV26),0))))-2))</f>
        <v>VariantAllowances</v>
      </c>
      <c r="E26" t="s">
        <v>713</v>
      </c>
      <c r="G26" t="str">
        <f t="shared" si="2"/>
        <v>£m 23/24 prices</v>
      </c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U26" s="95">
        <f>VariantAllowances!AU658</f>
        <v>0</v>
      </c>
      <c r="AV26" s="69">
        <f>VariantAllowances!AV658</f>
        <v>0</v>
      </c>
      <c r="AW26" s="69">
        <f>VariantAllowances!AW658</f>
        <v>0.32661128015910845</v>
      </c>
      <c r="AX26" s="69">
        <f>VariantAllowances!AX658</f>
        <v>3.4747581661517151</v>
      </c>
      <c r="AY26" s="69">
        <f>VariantAllowances!AY658</f>
        <v>2.4230976443476799</v>
      </c>
      <c r="BA26" s="44"/>
      <c r="BC26" s="19"/>
    </row>
    <row r="27" spans="4:59" ht="14.5" outlineLevel="1">
      <c r="BA27"/>
      <c r="BB27"/>
      <c r="BC27"/>
      <c r="BF27"/>
      <c r="BG27"/>
    </row>
    <row r="28" spans="4:59" outlineLevel="1">
      <c r="D28" s="1" t="str" cm="1">
        <f t="array" aca="1" ref="D28" ca="1">IFERROR(MID(_xlfn.FORMULATEXT(I28),FIND("=",_xlfn.FORMULATEXT(I28))+1,FIND("!",_xlfn.FORMULATEXT(I28))-2),MID(_xlfn.FORMULATEXT(INDEX(L28:AV28,MATCH(FALSE,ISBLANK(L28:AV28),0))),FIND("=",_xlfn.FORMULATEXT(INDEX(L28:AV28,MATCH(FALSE,ISBLANK(L28:AV28),0))))+1,FIND("!",_xlfn.FORMULATEXT(INDEX(L28:AV28,MATCH(FALSE,ISBLANK(L28:AV28),0))))-2))</f>
        <v>Transform_TO</v>
      </c>
      <c r="E28" t="s">
        <v>302</v>
      </c>
      <c r="G28" t="s">
        <v>783</v>
      </c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8"/>
      <c r="AE28" s="68"/>
      <c r="AF28" s="68"/>
      <c r="AG28" s="68"/>
      <c r="AH28" s="68"/>
      <c r="AI28" s="68"/>
      <c r="AJ28" s="68"/>
      <c r="AK28" s="68"/>
      <c r="AL28" s="68"/>
      <c r="AM28" s="68"/>
      <c r="AN28" s="68"/>
      <c r="AO28" s="68"/>
      <c r="AU28" s="140" t="b">
        <f>Transform_TO!AU7</f>
        <v>1</v>
      </c>
      <c r="AV28" s="27" t="b">
        <f>Transform_TO!AV7</f>
        <v>1</v>
      </c>
      <c r="AW28" s="27" t="b">
        <f>Transform_TO!AW7</f>
        <v>1</v>
      </c>
      <c r="AX28" s="27" t="b">
        <f>Transform_TO!AX7</f>
        <v>1</v>
      </c>
      <c r="AY28" s="27" t="b">
        <f>Transform_TO!AY7</f>
        <v>1</v>
      </c>
    </row>
    <row r="29" spans="4:59" outlineLevel="1">
      <c r="D29" s="1" t="str" cm="1">
        <f t="array" aca="1" ref="D29" ca="1">IFERROR(MID(_xlfn.FORMULATEXT(I29),FIND("=",_xlfn.FORMULATEXT(I29))+1,FIND("!",_xlfn.FORMULATEXT(I29))-2),MID(_xlfn.FORMULATEXT(INDEX(L29:AV29,MATCH(FALSE,ISBLANK(L29:AV29),0))),FIND("=",_xlfn.FORMULATEXT(INDEX(L29:AV29,MATCH(FALSE,ISBLANK(L29:AV29),0))))+1,FIND("!",_xlfn.FORMULATEXT(INDEX(L29:AV29,MATCH(FALSE,ISBLANK(L29:AV29),0))))-2))</f>
        <v>Transform_TO</v>
      </c>
      <c r="E29" t="s">
        <v>556</v>
      </c>
      <c r="G29" t="s">
        <v>783</v>
      </c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U29" s="140" t="b">
        <f>Transform_TO!AU8</f>
        <v>0</v>
      </c>
      <c r="AV29" s="27" t="b">
        <f>Transform_TO!AV8</f>
        <v>0</v>
      </c>
      <c r="AW29" s="27" t="b">
        <f>Transform_TO!AW8</f>
        <v>0</v>
      </c>
      <c r="AX29" s="27" t="b">
        <f>Transform_TO!AX8</f>
        <v>0</v>
      </c>
      <c r="AY29" s="27" t="b">
        <f>Transform_TO!AY8</f>
        <v>0</v>
      </c>
    </row>
    <row r="30" spans="4:59" outlineLevel="1">
      <c r="D30" s="1"/>
    </row>
    <row r="31" spans="4:59" outlineLevel="1">
      <c r="D31" s="1" t="str" cm="1">
        <f t="array" aca="1" ref="D31" ca="1">IFERROR(MID(_xlfn.FORMULATEXT(I31),FIND("=",_xlfn.FORMULATEXT(I31))+1,FIND("!",_xlfn.FORMULATEXT(I31))-2),MID(_xlfn.FORMULATEXT(INDEX(L31:AV31,MATCH(FALSE,ISBLANK(L31:AV31),0))),FIND("=",_xlfn.FORMULATEXT(INDEX(L31:AV31,MATCH(FALSE,ISBLANK(L31:AV31),0))))+1,FIND("!",_xlfn.FORMULATEXT(INDEX(L31:AV31,MATCH(FALSE,ISBLANK(L31:AV31),0))))-2))</f>
        <v>Transform_TO</v>
      </c>
      <c r="E31" t="s">
        <v>677</v>
      </c>
      <c r="G31" t="str">
        <f t="shared" ref="G31:G37" si="3">price_label</f>
        <v>£m 23/24 prices</v>
      </c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U31" s="95">
        <f>Transform_TO!AU12</f>
        <v>6.083254347769862</v>
      </c>
      <c r="AV31" s="69">
        <f>Transform_TO!AV12</f>
        <v>8.0254791671583572</v>
      </c>
      <c r="AW31" s="69">
        <f>Transform_TO!AW12</f>
        <v>6.7819269838536229</v>
      </c>
      <c r="AX31" s="69">
        <f>Transform_TO!AX12</f>
        <v>9.3493801699930099</v>
      </c>
      <c r="AY31" s="69">
        <f>Transform_TO!AY12</f>
        <v>9.295886368293079</v>
      </c>
    </row>
    <row r="32" spans="4:59" outlineLevel="1">
      <c r="D32" s="1" t="str" cm="1">
        <f t="array" aca="1" ref="D32" ca="1">IFERROR(MID(_xlfn.FORMULATEXT(I32),FIND("=",_xlfn.FORMULATEXT(I32))+1,FIND("!",_xlfn.FORMULATEXT(I32))-2),MID(_xlfn.FORMULATEXT(INDEX(L32:AV32,MATCH(FALSE,ISBLANK(L32:AV32),0))),FIND("=",_xlfn.FORMULATEXT(INDEX(L32:AV32,MATCH(FALSE,ISBLANK(L32:AV32),0))))+1,FIND("!",_xlfn.FORMULATEXT(INDEX(L32:AV32,MATCH(FALSE,ISBLANK(L32:AV32),0))))-2))</f>
        <v>Transform_TO</v>
      </c>
      <c r="E32" t="s">
        <v>678</v>
      </c>
      <c r="G32" t="str">
        <f t="shared" si="3"/>
        <v>£m 23/24 prices</v>
      </c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U32" s="95">
        <f>Transform_TO!AU13</f>
        <v>172.29588285899504</v>
      </c>
      <c r="AV32" s="69">
        <f>Transform_TO!AV13</f>
        <v>164.5799390109743</v>
      </c>
      <c r="AW32" s="69">
        <f>Transform_TO!AW13</f>
        <v>220.58340546594692</v>
      </c>
      <c r="AX32" s="69">
        <f>Transform_TO!AX13</f>
        <v>205.11278702970912</v>
      </c>
      <c r="AY32" s="69">
        <f>Transform_TO!AY13</f>
        <v>252.22369404902341</v>
      </c>
    </row>
    <row r="33" spans="1:55" outlineLevel="1">
      <c r="D33" s="1" t="str" cm="1">
        <f t="array" aca="1" ref="D33" ca="1">IFERROR(MID(_xlfn.FORMULATEXT(I33),FIND("=",_xlfn.FORMULATEXT(I33))+1,FIND("!",_xlfn.FORMULATEXT(I33))-2),MID(_xlfn.FORMULATEXT(INDEX(L33:AV33,MATCH(FALSE,ISBLANK(L33:AV33),0))),FIND("=",_xlfn.FORMULATEXT(INDEX(L33:AV33,MATCH(FALSE,ISBLANK(L33:AV33),0))))+1,FIND("!",_xlfn.FORMULATEXT(INDEX(L33:AV33,MATCH(FALSE,ISBLANK(L33:AV33),0))))-2))</f>
        <v>Transform_TO</v>
      </c>
      <c r="E33" t="s">
        <v>679</v>
      </c>
      <c r="G33" t="str">
        <f t="shared" si="3"/>
        <v>£m 23/24 prices</v>
      </c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  <c r="AA33" s="68"/>
      <c r="AB33" s="68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68"/>
      <c r="AN33" s="68"/>
      <c r="AO33" s="68"/>
      <c r="AU33" s="95">
        <f>Transform_TO!AU14</f>
        <v>68.265749816546759</v>
      </c>
      <c r="AV33" s="69">
        <f>Transform_TO!AV14</f>
        <v>74.609207266144622</v>
      </c>
      <c r="AW33" s="69">
        <f>Transform_TO!AW14</f>
        <v>66.609324763270081</v>
      </c>
      <c r="AX33" s="69">
        <f>Transform_TO!AX14</f>
        <v>56.859805367227835</v>
      </c>
      <c r="AY33" s="69">
        <f>Transform_TO!AY14</f>
        <v>51.682832774284691</v>
      </c>
    </row>
    <row r="34" spans="1:55" outlineLevel="1">
      <c r="D34" s="1" t="str" cm="1">
        <f t="array" aca="1" ref="D34" ca="1">IFERROR(MID(_xlfn.FORMULATEXT(I34),FIND("=",_xlfn.FORMULATEXT(I34))+1,FIND("!",_xlfn.FORMULATEXT(I34))-2),MID(_xlfn.FORMULATEXT(INDEX(L34:AV34,MATCH(FALSE,ISBLANK(L34:AV34),0))),FIND("=",_xlfn.FORMULATEXT(INDEX(L34:AV34,MATCH(FALSE,ISBLANK(L34:AV34),0))))+1,FIND("!",_xlfn.FORMULATEXT(INDEX(L34:AV34,MATCH(FALSE,ISBLANK(L34:AV34),0))))-2))</f>
        <v>Transform_TO</v>
      </c>
      <c r="E34" t="s">
        <v>680</v>
      </c>
      <c r="G34" t="str">
        <f t="shared" si="3"/>
        <v>£m 23/24 prices</v>
      </c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68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68"/>
      <c r="AN34" s="68"/>
      <c r="AO34" s="68"/>
      <c r="AU34" s="95">
        <f>Transform_TO!AU15</f>
        <v>71.573252627557736</v>
      </c>
      <c r="AV34" s="69">
        <f>Transform_TO!AV15</f>
        <v>69.953466893277351</v>
      </c>
      <c r="AW34" s="69">
        <f>Transform_TO!AW15</f>
        <v>45.035692186239004</v>
      </c>
      <c r="AX34" s="69">
        <f>Transform_TO!AX15</f>
        <v>33.716872944441441</v>
      </c>
      <c r="AY34" s="69">
        <f>Transform_TO!AY15</f>
        <v>35.08490894999445</v>
      </c>
    </row>
    <row r="35" spans="1:55" outlineLevel="1">
      <c r="D35" s="1" t="str" cm="1">
        <f t="array" aca="1" ref="D35" ca="1">IFERROR(MID(_xlfn.FORMULATEXT(I35),FIND("=",_xlfn.FORMULATEXT(I35))+1,FIND("!",_xlfn.FORMULATEXT(I35))-2),MID(_xlfn.FORMULATEXT(INDEX(L35:AV35,MATCH(FALSE,ISBLANK(L35:AV35),0))),FIND("=",_xlfn.FORMULATEXT(INDEX(L35:AV35,MATCH(FALSE,ISBLANK(L35:AV35),0))))+1,FIND("!",_xlfn.FORMULATEXT(INDEX(L35:AV35,MATCH(FALSE,ISBLANK(L35:AV35),0))))-2))</f>
        <v>Transform_TO</v>
      </c>
      <c r="E35" t="s">
        <v>681</v>
      </c>
      <c r="G35" t="str">
        <f t="shared" si="3"/>
        <v>£m 23/24 prices</v>
      </c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68"/>
      <c r="AC35" s="68"/>
      <c r="AD35" s="68"/>
      <c r="AE35" s="68"/>
      <c r="AF35" s="68"/>
      <c r="AG35" s="68"/>
      <c r="AH35" s="68"/>
      <c r="AI35" s="68"/>
      <c r="AJ35" s="68"/>
      <c r="AK35" s="68"/>
      <c r="AL35" s="68"/>
      <c r="AM35" s="68"/>
      <c r="AN35" s="68"/>
      <c r="AO35" s="68"/>
      <c r="AU35" s="95">
        <f>Transform_TO!AU16</f>
        <v>60.339907194756591</v>
      </c>
      <c r="AV35" s="69">
        <f>Transform_TO!AV16</f>
        <v>61.137649679373752</v>
      </c>
      <c r="AW35" s="69">
        <f>Transform_TO!AW16</f>
        <v>62.10549627488848</v>
      </c>
      <c r="AX35" s="69">
        <f>Transform_TO!AX16</f>
        <v>63.338082086671037</v>
      </c>
      <c r="AY35" s="69">
        <f>Transform_TO!AY16</f>
        <v>64.373997120249683</v>
      </c>
    </row>
    <row r="36" spans="1:55" outlineLevel="1">
      <c r="D36" s="1" t="str" cm="1">
        <f t="array" aca="1" ref="D36" ca="1">IFERROR(MID(_xlfn.FORMULATEXT(I36),FIND("=",_xlfn.FORMULATEXT(I36))+1,FIND("!",_xlfn.FORMULATEXT(I36))-2),MID(_xlfn.FORMULATEXT(INDEX(L36:AV36,MATCH(FALSE,ISBLANK(L36:AV36),0))),FIND("=",_xlfn.FORMULATEXT(INDEX(L36:AV36,MATCH(FALSE,ISBLANK(L36:AV36),0))))+1,FIND("!",_xlfn.FORMULATEXT(INDEX(L36:AV36,MATCH(FALSE,ISBLANK(L36:AV36),0))))-2))</f>
        <v>Transform_TO</v>
      </c>
      <c r="E36" t="s">
        <v>682</v>
      </c>
      <c r="G36" t="str">
        <f t="shared" si="3"/>
        <v>£m 23/24 prices</v>
      </c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  <c r="AU36" s="95">
        <f>Transform_TO!AU17</f>
        <v>152.06127240811392</v>
      </c>
      <c r="AV36" s="69">
        <f>Transform_TO!AV17</f>
        <v>156.04061876018005</v>
      </c>
      <c r="AW36" s="69">
        <f>Transform_TO!AW17</f>
        <v>156.63421359875252</v>
      </c>
      <c r="AX36" s="69">
        <f>Transform_TO!AX17</f>
        <v>146.57553265002804</v>
      </c>
      <c r="AY36" s="69">
        <f>Transform_TO!AY17</f>
        <v>142.55772155829581</v>
      </c>
    </row>
    <row r="37" spans="1:55" outlineLevel="1">
      <c r="D37" s="1" t="str" cm="1">
        <f t="array" aca="1" ref="D37" ca="1">IFERROR(MID(_xlfn.FORMULATEXT(I37),FIND("=",_xlfn.FORMULATEXT(I37))+1,FIND("!",_xlfn.FORMULATEXT(I37))-2),MID(_xlfn.FORMULATEXT(INDEX(L37:AV37,MATCH(FALSE,ISBLANK(L37:AV37),0))),FIND("=",_xlfn.FORMULATEXT(INDEX(L37:AV37,MATCH(FALSE,ISBLANK(L37:AV37),0))))+1,FIND("!",_xlfn.FORMULATEXT(INDEX(L37:AV37,MATCH(FALSE,ISBLANK(L37:AV37),0))))-2))</f>
        <v>Transform_TO</v>
      </c>
      <c r="E37" t="s">
        <v>625</v>
      </c>
      <c r="G37" t="str">
        <f t="shared" si="3"/>
        <v>£m 23/24 prices</v>
      </c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U37" s="115">
        <f>Transform_TO!AU28</f>
        <v>0</v>
      </c>
      <c r="AV37" s="69">
        <f>Transform_TO!AV28</f>
        <v>0</v>
      </c>
      <c r="AW37" s="69">
        <f>Transform_TO!AW28</f>
        <v>0</v>
      </c>
      <c r="AX37" s="69">
        <f>Transform_TO!AX28</f>
        <v>0</v>
      </c>
      <c r="AY37" s="69">
        <f>Transform_TO!AY28</f>
        <v>0</v>
      </c>
      <c r="BA37" s="44"/>
      <c r="BC37" s="19"/>
    </row>
    <row r="38" spans="1:55" outlineLevel="1">
      <c r="D38" s="1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68"/>
      <c r="AC38" s="68"/>
      <c r="AD38" s="68"/>
      <c r="AE38" s="68"/>
      <c r="AF38" s="68"/>
      <c r="AG38" s="68"/>
      <c r="AH38" s="68"/>
      <c r="AI38" s="68"/>
      <c r="AJ38" s="68"/>
      <c r="AK38" s="68"/>
      <c r="AL38" s="68"/>
      <c r="AM38" s="68"/>
      <c r="AN38" s="68"/>
      <c r="AO38" s="68"/>
      <c r="AU38" s="3"/>
      <c r="AV38" s="3"/>
      <c r="AW38" s="3"/>
      <c r="AX38" s="3"/>
      <c r="AY38" s="3"/>
    </row>
    <row r="39" spans="1:55" outlineLevel="1">
      <c r="D39" s="1" t="str" cm="1">
        <f t="array" aca="1" ref="D39" ca="1">IFERROR(MID(_xlfn.FORMULATEXT(I39),FIND("=",_xlfn.FORMULATEXT(I39))+1,FIND("!",_xlfn.FORMULATEXT(I39))-2),MID(_xlfn.FORMULATEXT(INDEX(L39:AV39,MATCH(FALSE,ISBLANK(L39:AV39),0))),FIND("=",_xlfn.FORMULATEXT(INDEX(L39:AV39,MATCH(FALSE,ISBLANK(L39:AV39),0))))+1,FIND("!",_xlfn.FORMULATEXT(INDEX(L39:AV39,MATCH(FALSE,ISBLANK(L39:AV39),0))))-2))</f>
        <v>Transform_TO</v>
      </c>
      <c r="E39" t="s">
        <v>683</v>
      </c>
      <c r="G39" t="str">
        <f t="shared" ref="G39:G44" si="4">price_label</f>
        <v>£m 23/24 prices</v>
      </c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8"/>
      <c r="AC39" s="68"/>
      <c r="AD39" s="68"/>
      <c r="AE39" s="68"/>
      <c r="AF39" s="68"/>
      <c r="AG39" s="68"/>
      <c r="AH39" s="68"/>
      <c r="AI39" s="68"/>
      <c r="AJ39" s="68"/>
      <c r="AK39" s="68"/>
      <c r="AL39" s="68"/>
      <c r="AM39" s="68"/>
      <c r="AN39" s="68"/>
      <c r="AO39" s="68"/>
      <c r="AU39" s="95">
        <f>Transform_TO!AU20</f>
        <v>0</v>
      </c>
      <c r="AV39" s="69">
        <f>Transform_TO!AV20</f>
        <v>0</v>
      </c>
      <c r="AW39" s="69">
        <f>Transform_TO!AW20</f>
        <v>4.1438633008999997</v>
      </c>
      <c r="AX39" s="69">
        <f>Transform_TO!AX20</f>
        <v>5.5312558833999992</v>
      </c>
      <c r="AY39" s="69">
        <f>Transform_TO!AY20</f>
        <v>8.7157826651000008</v>
      </c>
    </row>
    <row r="40" spans="1:55" outlineLevel="1">
      <c r="D40" s="1" t="str" cm="1">
        <f t="array" aca="1" ref="D40" ca="1">IFERROR(MID(_xlfn.FORMULATEXT(I40),FIND("=",_xlfn.FORMULATEXT(I40))+1,FIND("!",_xlfn.FORMULATEXT(I40))-2),MID(_xlfn.FORMULATEXT(INDEX(L40:AV40,MATCH(FALSE,ISBLANK(L40:AV40),0))),FIND("=",_xlfn.FORMULATEXT(INDEX(L40:AV40,MATCH(FALSE,ISBLANK(L40:AV40),0))))+1,FIND("!",_xlfn.FORMULATEXT(INDEX(L40:AV40,MATCH(FALSE,ISBLANK(L40:AV40),0))))-2))</f>
        <v>Transform_TO</v>
      </c>
      <c r="E40" t="s">
        <v>684</v>
      </c>
      <c r="G40" t="str">
        <f t="shared" si="4"/>
        <v>£m 23/24 prices</v>
      </c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U40" s="95">
        <f>Transform_TO!AU21</f>
        <v>268.41056601925101</v>
      </c>
      <c r="AV40" s="69">
        <f>Transform_TO!AV21</f>
        <v>485.52581923988947</v>
      </c>
      <c r="AW40" s="69">
        <f>Transform_TO!AW21</f>
        <v>469.30809664339171</v>
      </c>
      <c r="AX40" s="69">
        <f>Transform_TO!AX21</f>
        <v>262.41109171892725</v>
      </c>
      <c r="AY40" s="69">
        <f>Transform_TO!AY21</f>
        <v>188.88912319488645</v>
      </c>
    </row>
    <row r="41" spans="1:55" outlineLevel="1">
      <c r="D41" s="1" t="str" cm="1">
        <f t="array" aca="1" ref="D41" ca="1">IFERROR(MID(_xlfn.FORMULATEXT(I41),FIND("=",_xlfn.FORMULATEXT(I41))+1,FIND("!",_xlfn.FORMULATEXT(I41))-2),MID(_xlfn.FORMULATEXT(INDEX(L41:AV41,MATCH(FALSE,ISBLANK(L41:AV41),0))),FIND("=",_xlfn.FORMULATEXT(INDEX(L41:AV41,MATCH(FALSE,ISBLANK(L41:AV41),0))))+1,FIND("!",_xlfn.FORMULATEXT(INDEX(L41:AV41,MATCH(FALSE,ISBLANK(L41:AV41),0))))-2))</f>
        <v>Transform_TO</v>
      </c>
      <c r="E41" t="s">
        <v>685</v>
      </c>
      <c r="G41" t="str">
        <f t="shared" si="4"/>
        <v>£m 23/24 prices</v>
      </c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  <c r="AA41" s="68"/>
      <c r="AB41" s="68"/>
      <c r="AC41" s="68"/>
      <c r="AD41" s="68"/>
      <c r="AE41" s="68"/>
      <c r="AF41" s="68"/>
      <c r="AG41" s="68"/>
      <c r="AH41" s="68"/>
      <c r="AI41" s="68"/>
      <c r="AJ41" s="68"/>
      <c r="AK41" s="68"/>
      <c r="AL41" s="68"/>
      <c r="AM41" s="68"/>
      <c r="AN41" s="68"/>
      <c r="AO41" s="68"/>
      <c r="AU41" s="95">
        <f>Transform_TO!AU22</f>
        <v>57.471227195496752</v>
      </c>
      <c r="AV41" s="69">
        <f>Transform_TO!AV22</f>
        <v>31.945362644606096</v>
      </c>
      <c r="AW41" s="69">
        <f>Transform_TO!AW22</f>
        <v>50.682355952122684</v>
      </c>
      <c r="AX41" s="69">
        <f>Transform_TO!AX22</f>
        <v>20.390050887908291</v>
      </c>
      <c r="AY41" s="69">
        <f>Transform_TO!AY22</f>
        <v>0</v>
      </c>
    </row>
    <row r="42" spans="1:55" outlineLevel="1">
      <c r="D42" s="1" t="str" cm="1">
        <f t="array" aca="1" ref="D42" ca="1">IFERROR(MID(_xlfn.FORMULATEXT(I42),FIND("=",_xlfn.FORMULATEXT(I42))+1,FIND("!",_xlfn.FORMULATEXT(I42))-2),MID(_xlfn.FORMULATEXT(INDEX(L42:AV42,MATCH(FALSE,ISBLANK(L42:AV42),0))),FIND("=",_xlfn.FORMULATEXT(INDEX(L42:AV42,MATCH(FALSE,ISBLANK(L42:AV42),0))))+1,FIND("!",_xlfn.FORMULATEXT(INDEX(L42:AV42,MATCH(FALSE,ISBLANK(L42:AV42),0))))-2))</f>
        <v>Transform_TO</v>
      </c>
      <c r="E42" t="s">
        <v>686</v>
      </c>
      <c r="G42" t="str">
        <f t="shared" si="4"/>
        <v>£m 23/24 prices</v>
      </c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U42" s="95">
        <f>Transform_TO!AU23</f>
        <v>3.9774560287488208</v>
      </c>
      <c r="AV42" s="69">
        <f>Transform_TO!AV23</f>
        <v>15.031516864081985</v>
      </c>
      <c r="AW42" s="69">
        <f>Transform_TO!AW23</f>
        <v>26.03780420456145</v>
      </c>
      <c r="AX42" s="69">
        <f>Transform_TO!AX23</f>
        <v>6.6426575517922135</v>
      </c>
      <c r="AY42" s="69">
        <f>Transform_TO!AY23</f>
        <v>0.41059197630307315</v>
      </c>
    </row>
    <row r="43" spans="1:55" outlineLevel="1">
      <c r="D43" s="1" t="str" cm="1">
        <f t="array" aca="1" ref="D43" ca="1">IFERROR(MID(_xlfn.FORMULATEXT(I43),FIND("=",_xlfn.FORMULATEXT(I43))+1,FIND("!",_xlfn.FORMULATEXT(I43))-2),MID(_xlfn.FORMULATEXT(INDEX(L43:AV43,MATCH(FALSE,ISBLANK(L43:AV43),0))),FIND("=",_xlfn.FORMULATEXT(INDEX(L43:AV43,MATCH(FALSE,ISBLANK(L43:AV43),0))))+1,FIND("!",_xlfn.FORMULATEXT(INDEX(L43:AV43,MATCH(FALSE,ISBLANK(L43:AV43),0))))-2))</f>
        <v>Transform_TO</v>
      </c>
      <c r="E43" t="s">
        <v>687</v>
      </c>
      <c r="G43" t="str">
        <f t="shared" si="4"/>
        <v>£m 23/24 prices</v>
      </c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U43" s="95">
        <f>Transform_TO!AU24</f>
        <v>3.1556000000000002</v>
      </c>
      <c r="AV43" s="69">
        <f>Transform_TO!AV24</f>
        <v>1.7542</v>
      </c>
      <c r="AW43" s="69">
        <f>Transform_TO!AW24</f>
        <v>1.7542</v>
      </c>
      <c r="AX43" s="69">
        <f>Transform_TO!AX24</f>
        <v>0</v>
      </c>
      <c r="AY43" s="69">
        <f>Transform_TO!AY24</f>
        <v>0</v>
      </c>
    </row>
    <row r="44" spans="1:55" outlineLevel="1">
      <c r="D44" s="1" t="str" cm="1">
        <f t="array" aca="1" ref="D44" ca="1">IFERROR(MID(_xlfn.FORMULATEXT(I44),FIND("=",_xlfn.FORMULATEXT(I44))+1,FIND("!",_xlfn.FORMULATEXT(I44))-2),MID(_xlfn.FORMULATEXT(INDEX(L44:AV44,MATCH(FALSE,ISBLANK(L44:AV44),0))),FIND("=",_xlfn.FORMULATEXT(INDEX(L44:AV44,MATCH(FALSE,ISBLANK(L44:AV44),0))))+1,FIND("!",_xlfn.FORMULATEXT(INDEX(L44:AV44,MATCH(FALSE,ISBLANK(L44:AV44),0))))-2))</f>
        <v>Transform_TO</v>
      </c>
      <c r="E44" t="s">
        <v>714</v>
      </c>
      <c r="G44" t="str">
        <f t="shared" si="4"/>
        <v>£m 23/24 prices</v>
      </c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U44" s="95">
        <f>Transform_TO!AU25</f>
        <v>0</v>
      </c>
      <c r="AV44" s="69">
        <f>Transform_TO!AV25</f>
        <v>0</v>
      </c>
      <c r="AW44" s="69">
        <f>Transform_TO!AW25</f>
        <v>0.32661128015910845</v>
      </c>
      <c r="AX44" s="69">
        <f>Transform_TO!AX25</f>
        <v>3.4747581661517151</v>
      </c>
      <c r="AY44" s="69">
        <f>Transform_TO!AY25</f>
        <v>2.4230976443476799</v>
      </c>
    </row>
    <row r="45" spans="1:55">
      <c r="E45" s="4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U45" s="3"/>
      <c r="AV45" s="3"/>
      <c r="AW45" s="3"/>
      <c r="AX45" s="3"/>
      <c r="AY45" s="3"/>
      <c r="BA45" s="44"/>
    </row>
    <row r="46" spans="1:55" ht="20" thickBot="1">
      <c r="A46" s="15" t="s">
        <v>140</v>
      </c>
      <c r="B46" s="2"/>
      <c r="E46" s="4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U46" s="3"/>
      <c r="AV46" s="3"/>
      <c r="AW46" s="3"/>
      <c r="AX46" s="3"/>
      <c r="AY46" s="3"/>
      <c r="BA46" s="44"/>
    </row>
    <row r="47" spans="1:55" ht="18" thickTop="1" thickBot="1">
      <c r="B47" s="17" t="s">
        <v>141</v>
      </c>
      <c r="E47" s="4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U47" s="3"/>
      <c r="AV47" s="3"/>
      <c r="AW47" s="3"/>
      <c r="AX47" s="3"/>
      <c r="AY47" s="3"/>
      <c r="BA47" s="44"/>
    </row>
    <row r="48" spans="1:55" ht="16.5" thickTop="1">
      <c r="A48" s="2"/>
      <c r="E48" s="4" t="s">
        <v>366</v>
      </c>
      <c r="G48" t="s">
        <v>110</v>
      </c>
      <c r="AU48" s="96">
        <f t="shared" ref="AU48:AY53" si="5">SUM(AU7,AU14)</f>
        <v>6.083254347769862</v>
      </c>
      <c r="AV48" s="61">
        <f t="shared" si="5"/>
        <v>8.0254791671583572</v>
      </c>
      <c r="AW48" s="61">
        <f t="shared" si="5"/>
        <v>6.7819269838536229</v>
      </c>
      <c r="AX48" s="61">
        <f t="shared" si="5"/>
        <v>9.3493801699930099</v>
      </c>
      <c r="AY48" s="61">
        <f t="shared" si="5"/>
        <v>9.295886368293079</v>
      </c>
      <c r="BA48" s="44" t="str">
        <f ca="1">$A$1</f>
        <v>Totex</v>
      </c>
      <c r="BB48" s="1" t="str">
        <f>$A$46</f>
        <v>Allowed totex</v>
      </c>
      <c r="BC48" s="1" t="str">
        <f>$B$47</f>
        <v>Cap Rate 1</v>
      </c>
    </row>
    <row r="49" spans="2:55">
      <c r="E49" s="4" t="s">
        <v>367</v>
      </c>
      <c r="G49" t="s">
        <v>110</v>
      </c>
      <c r="AU49" s="96">
        <f t="shared" si="5"/>
        <v>172.78306119773612</v>
      </c>
      <c r="AV49" s="61">
        <f t="shared" si="5"/>
        <v>166.39098845675611</v>
      </c>
      <c r="AW49" s="61">
        <f t="shared" si="5"/>
        <v>224.56507908178315</v>
      </c>
      <c r="AX49" s="61">
        <f t="shared" si="5"/>
        <v>205.78994854658873</v>
      </c>
      <c r="AY49" s="61">
        <f t="shared" si="5"/>
        <v>252.2256311317847</v>
      </c>
      <c r="BA49" s="44" t="str">
        <f t="shared" ref="BA49:BA96" ca="1" si="6">$A$1</f>
        <v>Totex</v>
      </c>
      <c r="BB49" s="1" t="str">
        <f t="shared" ref="BB49:BB53" si="7">$A$46</f>
        <v>Allowed totex</v>
      </c>
      <c r="BC49" s="1" t="str">
        <f t="shared" ref="BC49:BC53" si="8">$B$47</f>
        <v>Cap Rate 1</v>
      </c>
    </row>
    <row r="50" spans="2:55">
      <c r="E50" s="4" t="s">
        <v>368</v>
      </c>
      <c r="G50" t="str">
        <f>price_label</f>
        <v>£m 23/24 prices</v>
      </c>
      <c r="AU50" s="96">
        <f t="shared" si="5"/>
        <v>68.265749816546759</v>
      </c>
      <c r="AV50" s="61">
        <f t="shared" si="5"/>
        <v>74.609207266144622</v>
      </c>
      <c r="AW50" s="61">
        <f t="shared" si="5"/>
        <v>66.609324763270081</v>
      </c>
      <c r="AX50" s="61">
        <f t="shared" si="5"/>
        <v>56.859805367227835</v>
      </c>
      <c r="AY50" s="61">
        <f t="shared" si="5"/>
        <v>51.682832774284691</v>
      </c>
      <c r="BA50" s="44" t="str">
        <f t="shared" ca="1" si="6"/>
        <v>Totex</v>
      </c>
      <c r="BB50" s="1" t="str">
        <f t="shared" si="7"/>
        <v>Allowed totex</v>
      </c>
      <c r="BC50" s="1" t="str">
        <f t="shared" si="8"/>
        <v>Cap Rate 1</v>
      </c>
    </row>
    <row r="51" spans="2:55">
      <c r="E51" s="4" t="s">
        <v>369</v>
      </c>
      <c r="G51" t="s">
        <v>110</v>
      </c>
      <c r="AU51" s="96">
        <f t="shared" si="5"/>
        <v>71.573252627557736</v>
      </c>
      <c r="AV51" s="61">
        <f t="shared" si="5"/>
        <v>69.953466893277351</v>
      </c>
      <c r="AW51" s="61">
        <f t="shared" si="5"/>
        <v>45.035692186239004</v>
      </c>
      <c r="AX51" s="61">
        <f t="shared" si="5"/>
        <v>33.716872944441441</v>
      </c>
      <c r="AY51" s="61">
        <f t="shared" si="5"/>
        <v>35.08490894999445</v>
      </c>
      <c r="BA51" s="44" t="str">
        <f t="shared" ca="1" si="6"/>
        <v>Totex</v>
      </c>
      <c r="BB51" s="1" t="str">
        <f t="shared" si="7"/>
        <v>Allowed totex</v>
      </c>
      <c r="BC51" s="1" t="str">
        <f t="shared" si="8"/>
        <v>Cap Rate 1</v>
      </c>
    </row>
    <row r="52" spans="2:55">
      <c r="E52" s="4" t="s">
        <v>370</v>
      </c>
      <c r="G52" t="s">
        <v>110</v>
      </c>
      <c r="AU52" s="96">
        <f t="shared" si="5"/>
        <v>60.339907194756591</v>
      </c>
      <c r="AV52" s="61">
        <f t="shared" si="5"/>
        <v>61.137649679373752</v>
      </c>
      <c r="AW52" s="61">
        <f t="shared" si="5"/>
        <v>62.10549627488848</v>
      </c>
      <c r="AX52" s="61">
        <f t="shared" si="5"/>
        <v>63.338082086671037</v>
      </c>
      <c r="AY52" s="61">
        <f t="shared" si="5"/>
        <v>64.373997120249683</v>
      </c>
      <c r="BA52" s="44" t="str">
        <f t="shared" ca="1" si="6"/>
        <v>Totex</v>
      </c>
      <c r="BB52" s="1" t="str">
        <f t="shared" si="7"/>
        <v>Allowed totex</v>
      </c>
      <c r="BC52" s="1" t="str">
        <f t="shared" si="8"/>
        <v>Cap Rate 1</v>
      </c>
    </row>
    <row r="53" spans="2:55">
      <c r="E53" s="4" t="s">
        <v>371</v>
      </c>
      <c r="G53" t="s">
        <v>110</v>
      </c>
      <c r="AU53" s="96">
        <f t="shared" si="5"/>
        <v>152.06127240811392</v>
      </c>
      <c r="AV53" s="61">
        <f t="shared" si="5"/>
        <v>156.04061876018005</v>
      </c>
      <c r="AW53" s="61">
        <f t="shared" si="5"/>
        <v>156.63421359875252</v>
      </c>
      <c r="AX53" s="61">
        <f t="shared" si="5"/>
        <v>146.57553265002804</v>
      </c>
      <c r="AY53" s="61">
        <f t="shared" si="5"/>
        <v>142.55772155829581</v>
      </c>
      <c r="BA53" s="44" t="str">
        <f t="shared" ca="1" si="6"/>
        <v>Totex</v>
      </c>
      <c r="BB53" s="1" t="str">
        <f t="shared" si="7"/>
        <v>Allowed totex</v>
      </c>
      <c r="BC53" s="1" t="str">
        <f t="shared" si="8"/>
        <v>Cap Rate 1</v>
      </c>
    </row>
    <row r="54" spans="2:55">
      <c r="E54" s="4"/>
      <c r="AU54" s="3"/>
      <c r="AV54" s="3"/>
      <c r="AW54" s="3"/>
      <c r="AX54" s="3"/>
      <c r="AY54" s="3"/>
      <c r="BA54" s="44"/>
    </row>
    <row r="55" spans="2:55" ht="17.5" thickBot="1">
      <c r="B55" s="17" t="s">
        <v>142</v>
      </c>
      <c r="E55" s="4"/>
      <c r="AU55" s="3"/>
      <c r="AV55" s="3"/>
      <c r="AW55" s="3"/>
      <c r="AX55" s="3"/>
      <c r="AY55" s="3"/>
      <c r="BA55" s="44"/>
    </row>
    <row r="56" spans="2:55" ht="16.5" thickTop="1">
      <c r="E56" s="4" t="s">
        <v>366</v>
      </c>
      <c r="G56" t="s">
        <v>110</v>
      </c>
      <c r="AU56" s="97">
        <f t="shared" ref="AU56:AY61" si="9">AU21</f>
        <v>0</v>
      </c>
      <c r="AV56" s="38">
        <f t="shared" si="9"/>
        <v>0</v>
      </c>
      <c r="AW56" s="38">
        <f t="shared" si="9"/>
        <v>4.1438633008999997</v>
      </c>
      <c r="AX56" s="38">
        <f t="shared" si="9"/>
        <v>5.5312558833999992</v>
      </c>
      <c r="AY56" s="38">
        <f t="shared" si="9"/>
        <v>8.7157826651000008</v>
      </c>
      <c r="BA56" s="44" t="str">
        <f t="shared" ca="1" si="6"/>
        <v>Totex</v>
      </c>
      <c r="BB56" s="1" t="str">
        <f t="shared" ref="BB56:BB61" si="10">$A$46</f>
        <v>Allowed totex</v>
      </c>
      <c r="BC56" s="1" t="str">
        <f>$B$55</f>
        <v>Cap Rate 2</v>
      </c>
    </row>
    <row r="57" spans="2:55">
      <c r="E57" s="4" t="s">
        <v>367</v>
      </c>
      <c r="G57" t="s">
        <v>110</v>
      </c>
      <c r="AU57" s="97">
        <f t="shared" si="9"/>
        <v>268.41056601925101</v>
      </c>
      <c r="AV57" s="38">
        <f t="shared" si="9"/>
        <v>485.52581923988947</v>
      </c>
      <c r="AW57" s="38">
        <f t="shared" si="9"/>
        <v>469.30809664339171</v>
      </c>
      <c r="AX57" s="38">
        <f t="shared" si="9"/>
        <v>262.41109171892725</v>
      </c>
      <c r="AY57" s="38">
        <f t="shared" si="9"/>
        <v>188.88912319488645</v>
      </c>
      <c r="BA57" s="44" t="str">
        <f t="shared" ca="1" si="6"/>
        <v>Totex</v>
      </c>
      <c r="BB57" s="1" t="str">
        <f t="shared" si="10"/>
        <v>Allowed totex</v>
      </c>
      <c r="BC57" s="1" t="str">
        <f t="shared" ref="BC57:BC61" si="11">$B$55</f>
        <v>Cap Rate 2</v>
      </c>
    </row>
    <row r="58" spans="2:55">
      <c r="E58" s="4" t="s">
        <v>368</v>
      </c>
      <c r="G58" t="str">
        <f>price_label</f>
        <v>£m 23/24 prices</v>
      </c>
      <c r="AU58" s="97">
        <f t="shared" si="9"/>
        <v>41.924399999999999</v>
      </c>
      <c r="AV58" s="38">
        <f t="shared" si="9"/>
        <v>23.305800000000001</v>
      </c>
      <c r="AW58" s="38">
        <f t="shared" si="9"/>
        <v>42.04279330751659</v>
      </c>
      <c r="AX58" s="38">
        <f t="shared" si="9"/>
        <v>20.390050887908291</v>
      </c>
      <c r="AY58" s="38">
        <f t="shared" si="9"/>
        <v>0</v>
      </c>
      <c r="BA58" s="44" t="str">
        <f t="shared" ca="1" si="6"/>
        <v>Totex</v>
      </c>
      <c r="BB58" s="1" t="str">
        <f t="shared" si="10"/>
        <v>Allowed totex</v>
      </c>
      <c r="BC58" s="1" t="str">
        <f t="shared" si="11"/>
        <v>Cap Rate 2</v>
      </c>
    </row>
    <row r="59" spans="2:55">
      <c r="E59" s="4" t="s">
        <v>369</v>
      </c>
      <c r="G59" t="s">
        <v>110</v>
      </c>
      <c r="AU59" s="97">
        <f t="shared" si="9"/>
        <v>3.9774560287488208</v>
      </c>
      <c r="AV59" s="38">
        <f t="shared" si="9"/>
        <v>15.031516864081985</v>
      </c>
      <c r="AW59" s="38">
        <f t="shared" si="9"/>
        <v>26.03780420456145</v>
      </c>
      <c r="AX59" s="38">
        <f t="shared" si="9"/>
        <v>6.6426575517922135</v>
      </c>
      <c r="AY59" s="38">
        <f t="shared" si="9"/>
        <v>0.41059197630307315</v>
      </c>
      <c r="BA59" s="44" t="str">
        <f t="shared" ca="1" si="6"/>
        <v>Totex</v>
      </c>
      <c r="BB59" s="1" t="str">
        <f t="shared" si="10"/>
        <v>Allowed totex</v>
      </c>
      <c r="BC59" s="1" t="str">
        <f t="shared" si="11"/>
        <v>Cap Rate 2</v>
      </c>
    </row>
    <row r="60" spans="2:55">
      <c r="E60" s="4" t="s">
        <v>370</v>
      </c>
      <c r="G60" t="s">
        <v>110</v>
      </c>
      <c r="AU60" s="97">
        <f t="shared" si="9"/>
        <v>3.1556000000000002</v>
      </c>
      <c r="AV60" s="38">
        <f t="shared" si="9"/>
        <v>1.7542</v>
      </c>
      <c r="AW60" s="38">
        <f t="shared" si="9"/>
        <v>1.7542</v>
      </c>
      <c r="AX60" s="38">
        <f t="shared" si="9"/>
        <v>0</v>
      </c>
      <c r="AY60" s="38">
        <f t="shared" si="9"/>
        <v>0</v>
      </c>
      <c r="BA60" s="44" t="str">
        <f t="shared" ca="1" si="6"/>
        <v>Totex</v>
      </c>
      <c r="BB60" s="1" t="str">
        <f t="shared" si="10"/>
        <v>Allowed totex</v>
      </c>
      <c r="BC60" s="1" t="str">
        <f t="shared" si="11"/>
        <v>Cap Rate 2</v>
      </c>
    </row>
    <row r="61" spans="2:55">
      <c r="E61" s="4" t="s">
        <v>371</v>
      </c>
      <c r="G61" t="s">
        <v>110</v>
      </c>
      <c r="AU61" s="97">
        <f t="shared" si="9"/>
        <v>0</v>
      </c>
      <c r="AV61" s="38">
        <f t="shared" si="9"/>
        <v>0</v>
      </c>
      <c r="AW61" s="38">
        <f t="shared" si="9"/>
        <v>0.32661128015910845</v>
      </c>
      <c r="AX61" s="38">
        <f t="shared" si="9"/>
        <v>3.4747581661517151</v>
      </c>
      <c r="AY61" s="38">
        <f t="shared" si="9"/>
        <v>2.4230976443476799</v>
      </c>
      <c r="BA61" s="44" t="str">
        <f t="shared" ca="1" si="6"/>
        <v>Totex</v>
      </c>
      <c r="BB61" s="1" t="str">
        <f t="shared" si="10"/>
        <v>Allowed totex</v>
      </c>
      <c r="BC61" s="1" t="str">
        <f t="shared" si="11"/>
        <v>Cap Rate 2</v>
      </c>
    </row>
    <row r="62" spans="2:55">
      <c r="E62" s="4"/>
      <c r="AU62" s="3"/>
      <c r="AV62" s="3"/>
      <c r="AW62" s="3"/>
      <c r="AX62" s="3"/>
      <c r="AY62" s="3"/>
      <c r="BA62" s="44"/>
    </row>
    <row r="63" spans="2:55" ht="17.5" thickBot="1">
      <c r="B63" s="17" t="s">
        <v>112</v>
      </c>
      <c r="E63" s="4"/>
      <c r="AU63" s="3"/>
      <c r="AV63" s="3"/>
      <c r="AW63" s="3"/>
      <c r="AX63" s="3"/>
      <c r="AY63" s="3"/>
      <c r="BA63" s="44"/>
    </row>
    <row r="64" spans="2:55" ht="16.5" thickTop="1">
      <c r="E64" s="4" t="s">
        <v>366</v>
      </c>
      <c r="G64" t="str">
        <f t="shared" ref="G64:G69" si="12">price_label</f>
        <v>£m 23/24 prices</v>
      </c>
      <c r="AU64" s="96">
        <f t="shared" ref="AU64:AX64" si="13">SUM(AU48,AU56)</f>
        <v>6.083254347769862</v>
      </c>
      <c r="AV64" s="61">
        <f t="shared" si="13"/>
        <v>8.0254791671583572</v>
      </c>
      <c r="AW64" s="61">
        <f t="shared" si="13"/>
        <v>10.925790284753623</v>
      </c>
      <c r="AX64" s="61">
        <f t="shared" si="13"/>
        <v>14.880636053393008</v>
      </c>
      <c r="AY64" s="61">
        <f>SUM(AY48,AY56)</f>
        <v>18.01166903339308</v>
      </c>
      <c r="AZ64" s="1"/>
      <c r="BA64" s="44" t="str">
        <f t="shared" ca="1" si="6"/>
        <v>Totex</v>
      </c>
      <c r="BB64" s="1" t="str">
        <f t="shared" ref="BB64:BB70" si="14">$A$46</f>
        <v>Allowed totex</v>
      </c>
      <c r="BC64" s="1" t="str">
        <f>$B$63</f>
        <v>Total</v>
      </c>
    </row>
    <row r="65" spans="1:55">
      <c r="E65" s="4" t="s">
        <v>367</v>
      </c>
      <c r="G65" t="str">
        <f t="shared" si="12"/>
        <v>£m 23/24 prices</v>
      </c>
      <c r="AU65" s="96">
        <f t="shared" ref="AU65:AY65" si="15">SUM(AU49,AU57)</f>
        <v>441.19362721698712</v>
      </c>
      <c r="AV65" s="61">
        <f t="shared" si="15"/>
        <v>651.91680769664561</v>
      </c>
      <c r="AW65" s="61">
        <f t="shared" si="15"/>
        <v>693.87317572517486</v>
      </c>
      <c r="AX65" s="61">
        <f t="shared" si="15"/>
        <v>468.20104026551599</v>
      </c>
      <c r="AY65" s="61">
        <f t="shared" si="15"/>
        <v>441.11475432667112</v>
      </c>
      <c r="AZ65" s="1"/>
      <c r="BA65" s="44" t="str">
        <f t="shared" ca="1" si="6"/>
        <v>Totex</v>
      </c>
      <c r="BB65" s="1" t="str">
        <f t="shared" si="14"/>
        <v>Allowed totex</v>
      </c>
      <c r="BC65" s="1" t="str">
        <f t="shared" ref="BC65:BC70" si="16">$B$63</f>
        <v>Total</v>
      </c>
    </row>
    <row r="66" spans="1:55">
      <c r="E66" s="4" t="s">
        <v>368</v>
      </c>
      <c r="G66" t="str">
        <f t="shared" si="12"/>
        <v>£m 23/24 prices</v>
      </c>
      <c r="AU66" s="96">
        <f t="shared" ref="AU66:AY66" si="17">SUM(AU50,AU58)</f>
        <v>110.19014981654675</v>
      </c>
      <c r="AV66" s="61">
        <f t="shared" si="17"/>
        <v>97.915007266144627</v>
      </c>
      <c r="AW66" s="61">
        <f t="shared" si="17"/>
        <v>108.65211807078667</v>
      </c>
      <c r="AX66" s="61">
        <f t="shared" si="17"/>
        <v>77.249856255136123</v>
      </c>
      <c r="AY66" s="61">
        <f t="shared" si="17"/>
        <v>51.682832774284691</v>
      </c>
      <c r="AZ66" s="1"/>
      <c r="BA66" s="44" t="str">
        <f t="shared" ca="1" si="6"/>
        <v>Totex</v>
      </c>
      <c r="BB66" s="1" t="str">
        <f t="shared" si="14"/>
        <v>Allowed totex</v>
      </c>
      <c r="BC66" s="1" t="str">
        <f t="shared" si="16"/>
        <v>Total</v>
      </c>
    </row>
    <row r="67" spans="1:55">
      <c r="E67" s="4" t="s">
        <v>369</v>
      </c>
      <c r="G67" t="str">
        <f t="shared" si="12"/>
        <v>£m 23/24 prices</v>
      </c>
      <c r="AU67" s="96">
        <f t="shared" ref="AU67:AY67" si="18">SUM(AU51,AU59)</f>
        <v>75.550708656306554</v>
      </c>
      <c r="AV67" s="61">
        <f t="shared" si="18"/>
        <v>84.984983757359331</v>
      </c>
      <c r="AW67" s="61">
        <f t="shared" si="18"/>
        <v>71.073496390800457</v>
      </c>
      <c r="AX67" s="61">
        <f t="shared" si="18"/>
        <v>40.359530496233653</v>
      </c>
      <c r="AY67" s="61">
        <f t="shared" si="18"/>
        <v>35.495500926297524</v>
      </c>
      <c r="AZ67" s="1"/>
      <c r="BA67" s="44" t="str">
        <f t="shared" ca="1" si="6"/>
        <v>Totex</v>
      </c>
      <c r="BB67" s="1" t="str">
        <f t="shared" si="14"/>
        <v>Allowed totex</v>
      </c>
      <c r="BC67" s="1" t="str">
        <f t="shared" si="16"/>
        <v>Total</v>
      </c>
    </row>
    <row r="68" spans="1:55">
      <c r="E68" s="4" t="s">
        <v>370</v>
      </c>
      <c r="G68" t="str">
        <f t="shared" si="12"/>
        <v>£m 23/24 prices</v>
      </c>
      <c r="AU68" s="96">
        <f t="shared" ref="AU68:AY68" si="19">SUM(AU52,AU60)</f>
        <v>63.495507194756591</v>
      </c>
      <c r="AV68" s="61">
        <f t="shared" si="19"/>
        <v>62.891849679373749</v>
      </c>
      <c r="AW68" s="61">
        <f t="shared" si="19"/>
        <v>63.859696274888478</v>
      </c>
      <c r="AX68" s="61">
        <f t="shared" si="19"/>
        <v>63.338082086671037</v>
      </c>
      <c r="AY68" s="61">
        <f t="shared" si="19"/>
        <v>64.373997120249683</v>
      </c>
      <c r="AZ68" s="1"/>
      <c r="BA68" s="44" t="str">
        <f t="shared" ca="1" si="6"/>
        <v>Totex</v>
      </c>
      <c r="BB68" s="1" t="str">
        <f t="shared" si="14"/>
        <v>Allowed totex</v>
      </c>
      <c r="BC68" s="1" t="str">
        <f t="shared" si="16"/>
        <v>Total</v>
      </c>
    </row>
    <row r="69" spans="1:55">
      <c r="E69" s="4" t="s">
        <v>371</v>
      </c>
      <c r="G69" t="str">
        <f t="shared" si="12"/>
        <v>£m 23/24 prices</v>
      </c>
      <c r="AU69" s="96">
        <f t="shared" ref="AU69:AY69" si="20">SUM(AU53,AU61)</f>
        <v>152.06127240811392</v>
      </c>
      <c r="AV69" s="61">
        <f t="shared" si="20"/>
        <v>156.04061876018005</v>
      </c>
      <c r="AW69" s="61">
        <f t="shared" si="20"/>
        <v>156.96082487891164</v>
      </c>
      <c r="AX69" s="61">
        <f t="shared" si="20"/>
        <v>150.05029081617974</v>
      </c>
      <c r="AY69" s="61">
        <f t="shared" si="20"/>
        <v>144.98081920264349</v>
      </c>
      <c r="AZ69" s="1"/>
      <c r="BA69" s="44" t="str">
        <f t="shared" ca="1" si="6"/>
        <v>Totex</v>
      </c>
      <c r="BB69" s="1" t="str">
        <f t="shared" si="14"/>
        <v>Allowed totex</v>
      </c>
      <c r="BC69" s="1" t="str">
        <f t="shared" si="16"/>
        <v>Total</v>
      </c>
    </row>
    <row r="70" spans="1:55">
      <c r="E70" s="4" t="s">
        <v>112</v>
      </c>
      <c r="AU70" s="141">
        <f>SUM(AU64:AU69)</f>
        <v>848.57451964048084</v>
      </c>
      <c r="AV70" s="65">
        <f>SUM(AV64:AV69)</f>
        <v>1061.7747463268618</v>
      </c>
      <c r="AW70" s="65">
        <f>SUM(AW64:AW69)</f>
        <v>1105.3451016253157</v>
      </c>
      <c r="AX70" s="65">
        <f>SUM(AX64:AX69)</f>
        <v>814.07943597312965</v>
      </c>
      <c r="AY70" s="65">
        <f>SUM(AY64:AY69)</f>
        <v>755.65957338353962</v>
      </c>
      <c r="AZ70" s="1"/>
      <c r="BA70" s="44" t="str">
        <f t="shared" ca="1" si="6"/>
        <v>Totex</v>
      </c>
      <c r="BB70" s="1" t="str">
        <f t="shared" si="14"/>
        <v>Allowed totex</v>
      </c>
      <c r="BC70" s="1" t="str">
        <f t="shared" si="16"/>
        <v>Total</v>
      </c>
    </row>
    <row r="71" spans="1:55">
      <c r="E71" s="4"/>
      <c r="AU71" s="3"/>
      <c r="AV71" s="3"/>
      <c r="AW71" s="3"/>
      <c r="AX71" s="3"/>
      <c r="AY71" s="3"/>
      <c r="BA71" s="44"/>
    </row>
    <row r="72" spans="1:55" ht="20" thickBot="1">
      <c r="A72" s="15" t="s">
        <v>8</v>
      </c>
      <c r="B72" s="2"/>
      <c r="E72" s="4"/>
      <c r="AU72" s="3"/>
      <c r="AV72" s="3"/>
      <c r="AW72" s="3"/>
      <c r="AX72" s="3"/>
      <c r="AY72" s="3"/>
      <c r="BA72" s="44"/>
    </row>
    <row r="73" spans="1:55" ht="18" thickTop="1" thickBot="1">
      <c r="B73" s="17" t="s">
        <v>141</v>
      </c>
      <c r="E73" s="4"/>
      <c r="AU73" s="3"/>
      <c r="AV73" s="3"/>
      <c r="AW73" s="3"/>
      <c r="AX73" s="3"/>
      <c r="AY73" s="3"/>
      <c r="BA73" s="44"/>
    </row>
    <row r="74" spans="1:55" ht="16.5" thickTop="1">
      <c r="E74" s="4" t="s">
        <v>366</v>
      </c>
      <c r="G74" t="str">
        <f t="shared" ref="G74:G79" si="21">price_label</f>
        <v>£m 23/24 prices</v>
      </c>
      <c r="AU74" s="96">
        <f t="shared" ref="AU74:AY75" si="22">AU31*AU$28+AU48*AU$29</f>
        <v>6.083254347769862</v>
      </c>
      <c r="AV74" s="61">
        <f t="shared" si="22"/>
        <v>8.0254791671583572</v>
      </c>
      <c r="AW74" s="61">
        <f t="shared" si="22"/>
        <v>6.7819269838536229</v>
      </c>
      <c r="AX74" s="61">
        <f t="shared" si="22"/>
        <v>9.3493801699930099</v>
      </c>
      <c r="AY74" s="61">
        <f t="shared" si="22"/>
        <v>9.295886368293079</v>
      </c>
      <c r="BA74" s="44" t="str">
        <f t="shared" ca="1" si="6"/>
        <v>Totex</v>
      </c>
      <c r="BB74" s="1" t="str">
        <f>$A$72</f>
        <v>Actual totex</v>
      </c>
      <c r="BC74" s="1" t="str">
        <f>$B$73</f>
        <v>Cap Rate 1</v>
      </c>
    </row>
    <row r="75" spans="1:55">
      <c r="E75" s="4" t="s">
        <v>367</v>
      </c>
      <c r="G75" t="str">
        <f t="shared" si="21"/>
        <v>£m 23/24 prices</v>
      </c>
      <c r="AU75" s="96">
        <f t="shared" si="22"/>
        <v>172.29588285899504</v>
      </c>
      <c r="AV75" s="61">
        <f t="shared" si="22"/>
        <v>164.5799390109743</v>
      </c>
      <c r="AW75" s="61">
        <f t="shared" si="22"/>
        <v>220.58340546594692</v>
      </c>
      <c r="AX75" s="61">
        <f t="shared" si="22"/>
        <v>205.11278702970912</v>
      </c>
      <c r="AY75" s="61">
        <f t="shared" si="22"/>
        <v>252.22369404902341</v>
      </c>
      <c r="BA75" s="44" t="str">
        <f t="shared" ca="1" si="6"/>
        <v>Totex</v>
      </c>
      <c r="BB75" s="1" t="str">
        <f t="shared" ref="BB75:BB79" si="23">$A$72</f>
        <v>Actual totex</v>
      </c>
      <c r="BC75" s="1" t="str">
        <f t="shared" ref="BC75:BC79" si="24">$B$73</f>
        <v>Cap Rate 1</v>
      </c>
    </row>
    <row r="76" spans="1:55">
      <c r="E76" s="4" t="s">
        <v>449</v>
      </c>
      <c r="G76" t="str">
        <f t="shared" si="21"/>
        <v>£m 23/24 prices</v>
      </c>
      <c r="AU76" s="96">
        <f>AU33*AU$28+AU50*AU$29-AU37</f>
        <v>68.265749816546759</v>
      </c>
      <c r="AV76" s="57">
        <f>AV33*AV$28+AV50*AV$29-AV37</f>
        <v>74.609207266144622</v>
      </c>
      <c r="AW76" s="57">
        <f>AW33*AW$28+AW50*AW$29-AW37</f>
        <v>66.609324763270081</v>
      </c>
      <c r="AX76" s="57">
        <f>AX33*AX$28+AX50*AX$29-AX37</f>
        <v>56.859805367227835</v>
      </c>
      <c r="AY76" s="57">
        <f>AY33*AY$28+AY50*AY$29-AY37</f>
        <v>51.682832774284691</v>
      </c>
      <c r="BA76" s="44" t="str">
        <f t="shared" ca="1" si="6"/>
        <v>Totex</v>
      </c>
      <c r="BB76" s="1" t="str">
        <f t="shared" si="23"/>
        <v>Actual totex</v>
      </c>
      <c r="BC76" s="1" t="str">
        <f t="shared" si="24"/>
        <v>Cap Rate 1</v>
      </c>
    </row>
    <row r="77" spans="1:55">
      <c r="E77" s="4" t="s">
        <v>369</v>
      </c>
      <c r="G77" t="str">
        <f t="shared" si="21"/>
        <v>£m 23/24 prices</v>
      </c>
      <c r="AU77" s="96">
        <f t="shared" ref="AU77:AY79" si="25">AU34*AU$28+AU51*AU$29</f>
        <v>71.573252627557736</v>
      </c>
      <c r="AV77" s="61">
        <f t="shared" si="25"/>
        <v>69.953466893277351</v>
      </c>
      <c r="AW77" s="61">
        <f t="shared" si="25"/>
        <v>45.035692186239004</v>
      </c>
      <c r="AX77" s="61">
        <f t="shared" si="25"/>
        <v>33.716872944441441</v>
      </c>
      <c r="AY77" s="61">
        <f t="shared" si="25"/>
        <v>35.08490894999445</v>
      </c>
      <c r="BA77" s="44" t="str">
        <f t="shared" ca="1" si="6"/>
        <v>Totex</v>
      </c>
      <c r="BB77" s="1" t="str">
        <f t="shared" si="23"/>
        <v>Actual totex</v>
      </c>
      <c r="BC77" s="1" t="str">
        <f t="shared" si="24"/>
        <v>Cap Rate 1</v>
      </c>
    </row>
    <row r="78" spans="1:55">
      <c r="E78" s="4" t="s">
        <v>370</v>
      </c>
      <c r="G78" t="str">
        <f t="shared" si="21"/>
        <v>£m 23/24 prices</v>
      </c>
      <c r="AU78" s="96">
        <f t="shared" si="25"/>
        <v>60.339907194756591</v>
      </c>
      <c r="AV78" s="61">
        <f t="shared" si="25"/>
        <v>61.137649679373752</v>
      </c>
      <c r="AW78" s="61">
        <f t="shared" si="25"/>
        <v>62.10549627488848</v>
      </c>
      <c r="AX78" s="61">
        <f t="shared" si="25"/>
        <v>63.338082086671037</v>
      </c>
      <c r="AY78" s="61">
        <f t="shared" si="25"/>
        <v>64.373997120249683</v>
      </c>
      <c r="BA78" s="44" t="str">
        <f t="shared" ca="1" si="6"/>
        <v>Totex</v>
      </c>
      <c r="BB78" s="1" t="str">
        <f t="shared" si="23"/>
        <v>Actual totex</v>
      </c>
      <c r="BC78" s="1" t="str">
        <f t="shared" si="24"/>
        <v>Cap Rate 1</v>
      </c>
    </row>
    <row r="79" spans="1:55">
      <c r="E79" s="4" t="s">
        <v>371</v>
      </c>
      <c r="G79" t="str">
        <f t="shared" si="21"/>
        <v>£m 23/24 prices</v>
      </c>
      <c r="AU79" s="96">
        <f t="shared" si="25"/>
        <v>152.06127240811392</v>
      </c>
      <c r="AV79" s="61">
        <f t="shared" si="25"/>
        <v>156.04061876018005</v>
      </c>
      <c r="AW79" s="61">
        <f t="shared" si="25"/>
        <v>156.63421359875252</v>
      </c>
      <c r="AX79" s="61">
        <f t="shared" si="25"/>
        <v>146.57553265002804</v>
      </c>
      <c r="AY79" s="61">
        <f t="shared" si="25"/>
        <v>142.55772155829581</v>
      </c>
      <c r="BA79" s="44" t="str">
        <f t="shared" ca="1" si="6"/>
        <v>Totex</v>
      </c>
      <c r="BB79" s="1" t="str">
        <f t="shared" si="23"/>
        <v>Actual totex</v>
      </c>
      <c r="BC79" s="1" t="str">
        <f t="shared" si="24"/>
        <v>Cap Rate 1</v>
      </c>
    </row>
    <row r="80" spans="1:55">
      <c r="E80" s="4"/>
      <c r="BA80" s="44"/>
    </row>
    <row r="81" spans="2:55" ht="17.5" thickBot="1">
      <c r="B81" s="17" t="s">
        <v>142</v>
      </c>
      <c r="E81" s="4"/>
      <c r="AU81" s="3"/>
      <c r="AV81" s="3"/>
      <c r="AW81" s="3"/>
      <c r="AX81" s="3"/>
      <c r="AY81" s="3"/>
      <c r="BA81" s="44"/>
    </row>
    <row r="82" spans="2:55" ht="16.5" thickTop="1">
      <c r="E82" s="4" t="s">
        <v>366</v>
      </c>
      <c r="G82" t="str">
        <f t="shared" ref="G82:G87" si="26">price_label</f>
        <v>£m 23/24 prices</v>
      </c>
      <c r="AU82" s="96">
        <f t="shared" ref="AU82:AY87" si="27">AU39*AU$28+AU56*AU$29</f>
        <v>0</v>
      </c>
      <c r="AV82" s="61">
        <f t="shared" si="27"/>
        <v>0</v>
      </c>
      <c r="AW82" s="61">
        <f t="shared" si="27"/>
        <v>4.1438633008999997</v>
      </c>
      <c r="AX82" s="61">
        <f t="shared" si="27"/>
        <v>5.5312558833999992</v>
      </c>
      <c r="AY82" s="61">
        <f t="shared" si="27"/>
        <v>8.7157826651000008</v>
      </c>
      <c r="BA82" s="44" t="str">
        <f t="shared" ca="1" si="6"/>
        <v>Totex</v>
      </c>
      <c r="BB82" s="1" t="str">
        <f t="shared" ref="BB82:BB87" si="28">$A$72</f>
        <v>Actual totex</v>
      </c>
      <c r="BC82" s="1" t="str">
        <f>$B$81</f>
        <v>Cap Rate 2</v>
      </c>
    </row>
    <row r="83" spans="2:55">
      <c r="E83" s="4" t="s">
        <v>367</v>
      </c>
      <c r="G83" t="str">
        <f t="shared" si="26"/>
        <v>£m 23/24 prices</v>
      </c>
      <c r="AU83" s="96">
        <f t="shared" si="27"/>
        <v>268.41056601925101</v>
      </c>
      <c r="AV83" s="61">
        <f t="shared" si="27"/>
        <v>485.52581923988947</v>
      </c>
      <c r="AW83" s="61">
        <f t="shared" si="27"/>
        <v>469.30809664339171</v>
      </c>
      <c r="AX83" s="61">
        <f t="shared" si="27"/>
        <v>262.41109171892725</v>
      </c>
      <c r="AY83" s="61">
        <f t="shared" si="27"/>
        <v>188.88912319488645</v>
      </c>
      <c r="BA83" s="44" t="str">
        <f t="shared" ca="1" si="6"/>
        <v>Totex</v>
      </c>
      <c r="BB83" s="1" t="str">
        <f t="shared" si="28"/>
        <v>Actual totex</v>
      </c>
      <c r="BC83" s="1" t="str">
        <f t="shared" ref="BC83:BC87" si="29">$B$81</f>
        <v>Cap Rate 2</v>
      </c>
    </row>
    <row r="84" spans="2:55">
      <c r="E84" s="4" t="s">
        <v>368</v>
      </c>
      <c r="G84" t="str">
        <f t="shared" si="26"/>
        <v>£m 23/24 prices</v>
      </c>
      <c r="AU84" s="96">
        <f t="shared" si="27"/>
        <v>57.471227195496752</v>
      </c>
      <c r="AV84" s="61">
        <f t="shared" si="27"/>
        <v>31.945362644606096</v>
      </c>
      <c r="AW84" s="61">
        <f t="shared" si="27"/>
        <v>50.682355952122684</v>
      </c>
      <c r="AX84" s="61">
        <f t="shared" si="27"/>
        <v>20.390050887908291</v>
      </c>
      <c r="AY84" s="61">
        <f t="shared" si="27"/>
        <v>0</v>
      </c>
      <c r="BA84" s="44" t="str">
        <f t="shared" ca="1" si="6"/>
        <v>Totex</v>
      </c>
      <c r="BB84" s="1" t="str">
        <f t="shared" si="28"/>
        <v>Actual totex</v>
      </c>
      <c r="BC84" s="1" t="str">
        <f t="shared" si="29"/>
        <v>Cap Rate 2</v>
      </c>
    </row>
    <row r="85" spans="2:55">
      <c r="E85" s="4" t="s">
        <v>369</v>
      </c>
      <c r="G85" t="str">
        <f t="shared" si="26"/>
        <v>£m 23/24 prices</v>
      </c>
      <c r="AU85" s="96">
        <f t="shared" si="27"/>
        <v>3.9774560287488208</v>
      </c>
      <c r="AV85" s="61">
        <f t="shared" si="27"/>
        <v>15.031516864081985</v>
      </c>
      <c r="AW85" s="61">
        <f t="shared" si="27"/>
        <v>26.03780420456145</v>
      </c>
      <c r="AX85" s="61">
        <f t="shared" si="27"/>
        <v>6.6426575517922135</v>
      </c>
      <c r="AY85" s="61">
        <f t="shared" si="27"/>
        <v>0.41059197630307315</v>
      </c>
      <c r="BA85" s="44" t="str">
        <f t="shared" ca="1" si="6"/>
        <v>Totex</v>
      </c>
      <c r="BB85" s="1" t="str">
        <f t="shared" si="28"/>
        <v>Actual totex</v>
      </c>
      <c r="BC85" s="1" t="str">
        <f t="shared" si="29"/>
        <v>Cap Rate 2</v>
      </c>
    </row>
    <row r="86" spans="2:55">
      <c r="E86" s="4" t="s">
        <v>370</v>
      </c>
      <c r="G86" t="str">
        <f t="shared" si="26"/>
        <v>£m 23/24 prices</v>
      </c>
      <c r="AU86" s="96">
        <f t="shared" si="27"/>
        <v>3.1556000000000002</v>
      </c>
      <c r="AV86" s="61">
        <f t="shared" si="27"/>
        <v>1.7542</v>
      </c>
      <c r="AW86" s="61">
        <f t="shared" si="27"/>
        <v>1.7542</v>
      </c>
      <c r="AX86" s="61">
        <f t="shared" si="27"/>
        <v>0</v>
      </c>
      <c r="AY86" s="61">
        <f t="shared" si="27"/>
        <v>0</v>
      </c>
      <c r="BA86" s="44" t="str">
        <f t="shared" ca="1" si="6"/>
        <v>Totex</v>
      </c>
      <c r="BB86" s="1" t="str">
        <f t="shared" si="28"/>
        <v>Actual totex</v>
      </c>
      <c r="BC86" s="1" t="str">
        <f t="shared" si="29"/>
        <v>Cap Rate 2</v>
      </c>
    </row>
    <row r="87" spans="2:55">
      <c r="E87" s="4" t="s">
        <v>371</v>
      </c>
      <c r="G87" t="str">
        <f t="shared" si="26"/>
        <v>£m 23/24 prices</v>
      </c>
      <c r="AU87" s="96">
        <f t="shared" si="27"/>
        <v>0</v>
      </c>
      <c r="AV87" s="61">
        <f t="shared" si="27"/>
        <v>0</v>
      </c>
      <c r="AW87" s="61">
        <f t="shared" si="27"/>
        <v>0.32661128015910845</v>
      </c>
      <c r="AX87" s="61">
        <f t="shared" si="27"/>
        <v>3.4747581661517151</v>
      </c>
      <c r="AY87" s="61">
        <f t="shared" si="27"/>
        <v>2.4230976443476799</v>
      </c>
      <c r="BA87" s="44" t="str">
        <f t="shared" ca="1" si="6"/>
        <v>Totex</v>
      </c>
      <c r="BB87" s="1" t="str">
        <f t="shared" si="28"/>
        <v>Actual totex</v>
      </c>
      <c r="BC87" s="1" t="str">
        <f t="shared" si="29"/>
        <v>Cap Rate 2</v>
      </c>
    </row>
    <row r="88" spans="2:55">
      <c r="E88" s="4"/>
      <c r="AU88" s="3"/>
      <c r="AV88" s="3"/>
      <c r="AW88" s="3"/>
      <c r="AX88" s="3"/>
      <c r="AY88" s="3"/>
      <c r="BA88" s="44"/>
    </row>
    <row r="89" spans="2:55" ht="17.5" thickBot="1">
      <c r="B89" s="17" t="s">
        <v>112</v>
      </c>
      <c r="E89" s="4"/>
      <c r="AU89" s="3"/>
      <c r="AV89" s="3"/>
      <c r="AW89" s="3"/>
      <c r="AX89" s="3"/>
      <c r="AY89" s="3"/>
      <c r="BA89" s="44"/>
    </row>
    <row r="90" spans="2:55" ht="16.5" thickTop="1">
      <c r="E90" s="4" t="s">
        <v>366</v>
      </c>
      <c r="G90" t="str">
        <f t="shared" ref="G90:G96" si="30">price_label</f>
        <v>£m 23/24 prices</v>
      </c>
      <c r="AU90" s="96">
        <f t="shared" ref="AU90:AX90" si="31">SUM(AU74,AU82)</f>
        <v>6.083254347769862</v>
      </c>
      <c r="AV90" s="61">
        <f t="shared" si="31"/>
        <v>8.0254791671583572</v>
      </c>
      <c r="AW90" s="61">
        <f t="shared" si="31"/>
        <v>10.925790284753623</v>
      </c>
      <c r="AX90" s="61">
        <f t="shared" si="31"/>
        <v>14.880636053393008</v>
      </c>
      <c r="AY90" s="61">
        <f>SUM(AY74,AY82)</f>
        <v>18.01166903339308</v>
      </c>
      <c r="AZ90" s="1"/>
      <c r="BA90" s="44" t="str">
        <f t="shared" ca="1" si="6"/>
        <v>Totex</v>
      </c>
      <c r="BB90" s="1" t="str">
        <f t="shared" ref="BB90:BB96" si="32">$A$72</f>
        <v>Actual totex</v>
      </c>
      <c r="BC90" s="1" t="str">
        <f>$B$89</f>
        <v>Total</v>
      </c>
    </row>
    <row r="91" spans="2:55">
      <c r="E91" s="4" t="s">
        <v>367</v>
      </c>
      <c r="G91" t="str">
        <f t="shared" si="30"/>
        <v>£m 23/24 prices</v>
      </c>
      <c r="AU91" s="96">
        <f t="shared" ref="AU91:AY91" si="33">SUM(AU75,AU83)</f>
        <v>440.70644887824608</v>
      </c>
      <c r="AV91" s="61">
        <f t="shared" si="33"/>
        <v>650.1057582508638</v>
      </c>
      <c r="AW91" s="61">
        <f t="shared" si="33"/>
        <v>689.8915021093386</v>
      </c>
      <c r="AX91" s="61">
        <f t="shared" si="33"/>
        <v>467.52387874863638</v>
      </c>
      <c r="AY91" s="61">
        <f t="shared" si="33"/>
        <v>441.11281724390983</v>
      </c>
      <c r="AZ91" s="1"/>
      <c r="BA91" s="44" t="str">
        <f t="shared" ca="1" si="6"/>
        <v>Totex</v>
      </c>
      <c r="BB91" s="1" t="str">
        <f t="shared" si="32"/>
        <v>Actual totex</v>
      </c>
      <c r="BC91" s="1" t="str">
        <f t="shared" ref="BC91:BC96" si="34">$B$89</f>
        <v>Total</v>
      </c>
    </row>
    <row r="92" spans="2:55">
      <c r="E92" s="4" t="s">
        <v>368</v>
      </c>
      <c r="G92" t="str">
        <f t="shared" si="30"/>
        <v>£m 23/24 prices</v>
      </c>
      <c r="AU92" s="96">
        <f t="shared" ref="AU92:AY92" si="35">SUM(AU76,AU84)</f>
        <v>125.73697701204351</v>
      </c>
      <c r="AV92" s="61">
        <f t="shared" si="35"/>
        <v>106.55456991075071</v>
      </c>
      <c r="AW92" s="61">
        <f t="shared" si="35"/>
        <v>117.29168071539277</v>
      </c>
      <c r="AX92" s="61">
        <f t="shared" si="35"/>
        <v>77.249856255136123</v>
      </c>
      <c r="AY92" s="61">
        <f t="shared" si="35"/>
        <v>51.682832774284691</v>
      </c>
      <c r="AZ92" s="1"/>
      <c r="BA92" s="44" t="str">
        <f t="shared" ca="1" si="6"/>
        <v>Totex</v>
      </c>
      <c r="BB92" s="1" t="str">
        <f t="shared" si="32"/>
        <v>Actual totex</v>
      </c>
      <c r="BC92" s="1" t="str">
        <f t="shared" si="34"/>
        <v>Total</v>
      </c>
    </row>
    <row r="93" spans="2:55">
      <c r="E93" s="4" t="s">
        <v>369</v>
      </c>
      <c r="G93" t="str">
        <f t="shared" si="30"/>
        <v>£m 23/24 prices</v>
      </c>
      <c r="AU93" s="96">
        <f t="shared" ref="AU93:AY93" si="36">SUM(AU77,AU85)</f>
        <v>75.550708656306554</v>
      </c>
      <c r="AV93" s="61">
        <f t="shared" si="36"/>
        <v>84.984983757359331</v>
      </c>
      <c r="AW93" s="61">
        <f t="shared" si="36"/>
        <v>71.073496390800457</v>
      </c>
      <c r="AX93" s="61">
        <f t="shared" si="36"/>
        <v>40.359530496233653</v>
      </c>
      <c r="AY93" s="61">
        <f t="shared" si="36"/>
        <v>35.495500926297524</v>
      </c>
      <c r="AZ93" s="1"/>
      <c r="BA93" s="44" t="str">
        <f t="shared" ca="1" si="6"/>
        <v>Totex</v>
      </c>
      <c r="BB93" s="1" t="str">
        <f t="shared" si="32"/>
        <v>Actual totex</v>
      </c>
      <c r="BC93" s="1" t="str">
        <f t="shared" si="34"/>
        <v>Total</v>
      </c>
    </row>
    <row r="94" spans="2:55">
      <c r="E94" s="4" t="s">
        <v>370</v>
      </c>
      <c r="G94" t="str">
        <f t="shared" si="30"/>
        <v>£m 23/24 prices</v>
      </c>
      <c r="AU94" s="96">
        <f t="shared" ref="AU94:AY94" si="37">SUM(AU78,AU86)</f>
        <v>63.495507194756591</v>
      </c>
      <c r="AV94" s="61">
        <f t="shared" si="37"/>
        <v>62.891849679373749</v>
      </c>
      <c r="AW94" s="61">
        <f t="shared" si="37"/>
        <v>63.859696274888478</v>
      </c>
      <c r="AX94" s="61">
        <f t="shared" si="37"/>
        <v>63.338082086671037</v>
      </c>
      <c r="AY94" s="61">
        <f t="shared" si="37"/>
        <v>64.373997120249683</v>
      </c>
      <c r="AZ94" s="1"/>
      <c r="BA94" s="44" t="str">
        <f t="shared" ca="1" si="6"/>
        <v>Totex</v>
      </c>
      <c r="BB94" s="1" t="str">
        <f t="shared" si="32"/>
        <v>Actual totex</v>
      </c>
      <c r="BC94" s="1" t="str">
        <f t="shared" si="34"/>
        <v>Total</v>
      </c>
    </row>
    <row r="95" spans="2:55">
      <c r="E95" s="4" t="s">
        <v>371</v>
      </c>
      <c r="G95" t="str">
        <f t="shared" si="30"/>
        <v>£m 23/24 prices</v>
      </c>
      <c r="AU95" s="96">
        <f t="shared" ref="AU95:AY95" si="38">SUM(AU79,AU87)</f>
        <v>152.06127240811392</v>
      </c>
      <c r="AV95" s="61">
        <f t="shared" si="38"/>
        <v>156.04061876018005</v>
      </c>
      <c r="AW95" s="61">
        <f t="shared" si="38"/>
        <v>156.96082487891164</v>
      </c>
      <c r="AX95" s="61">
        <f t="shared" si="38"/>
        <v>150.05029081617974</v>
      </c>
      <c r="AY95" s="61">
        <f t="shared" si="38"/>
        <v>144.98081920264349</v>
      </c>
      <c r="AZ95" s="1"/>
      <c r="BA95" s="44" t="str">
        <f t="shared" ca="1" si="6"/>
        <v>Totex</v>
      </c>
      <c r="BB95" s="1" t="str">
        <f t="shared" si="32"/>
        <v>Actual totex</v>
      </c>
      <c r="BC95" s="1" t="str">
        <f t="shared" si="34"/>
        <v>Total</v>
      </c>
    </row>
    <row r="96" spans="2:55">
      <c r="E96" s="4" t="s">
        <v>112</v>
      </c>
      <c r="G96" t="str">
        <f t="shared" si="30"/>
        <v>£m 23/24 prices</v>
      </c>
      <c r="AU96" s="141">
        <f>SUM(AU90:AU95)</f>
        <v>863.6341684972366</v>
      </c>
      <c r="AV96" s="65">
        <f>SUM(AV90:AV95)</f>
        <v>1068.6032595256861</v>
      </c>
      <c r="AW96" s="65">
        <f>SUM(AW90:AW95)</f>
        <v>1110.0029906540856</v>
      </c>
      <c r="AX96" s="65">
        <f>SUM(AX90:AX95)</f>
        <v>813.40227445624998</v>
      </c>
      <c r="AY96" s="65">
        <f>SUM(AY90:AY95)</f>
        <v>755.65763630077834</v>
      </c>
      <c r="AZ96" s="1"/>
      <c r="BA96" s="44" t="str">
        <f t="shared" ca="1" si="6"/>
        <v>Totex</v>
      </c>
      <c r="BB96" s="1" t="str">
        <f t="shared" si="32"/>
        <v>Actual totex</v>
      </c>
      <c r="BC96" s="1" t="str">
        <f t="shared" si="34"/>
        <v>Total</v>
      </c>
    </row>
    <row r="97" spans="1:1"/>
    <row r="98" spans="1:1"/>
    <row r="99" spans="1:1" ht="20" thickBot="1">
      <c r="A99" s="15" t="s">
        <v>241</v>
      </c>
    </row>
    <row r="100" spans="1:1" ht="16.5" thickTop="1"/>
    <row r="101" spans="1:1"/>
  </sheetData>
  <conditionalFormatting sqref="H1">
    <cfRule type="cellIs" dxfId="15" priority="1" operator="equal">
      <formula>"ERROR"</formula>
    </cfRule>
  </conditionalFormatting>
  <pageMargins left="0.7" right="0.7" top="0.75" bottom="0.75" header="0.3" footer="0.3"/>
  <pageSetup paperSize="9" orientation="portrait" r:id="rId1"/>
  <headerFooter>
    <oddFooter>&amp;L_x000D_&amp;1#&amp;"Aptos"&amp;10&amp;K000000 National Gas | Business Use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02A27D-2AB3-4C2E-8198-1E50CF09B230}">
  <sheetPr codeName="Sheet6">
    <tabColor rgb="FFBAA0CC"/>
    <pageSetUpPr autoPageBreaks="0"/>
  </sheetPr>
  <dimension ref="A1:BF66"/>
  <sheetViews>
    <sheetView workbookViewId="0">
      <pane xSplit="10" ySplit="4" topLeftCell="AM5" activePane="bottomRight" state="frozen"/>
      <selection pane="topRight" activeCell="K1" sqref="K1"/>
      <selection pane="bottomLeft" activeCell="A5" sqref="A5"/>
      <selection pane="bottomRight"/>
    </sheetView>
  </sheetViews>
  <sheetFormatPr defaultColWidth="0" defaultRowHeight="16" zeroHeight="1" outlineLevelRow="1" outlineLevelCol="1"/>
  <cols>
    <col min="1" max="3" width="1.81640625" customWidth="1"/>
    <col min="4" max="4" width="15.7265625" customWidth="1"/>
    <col min="5" max="5" width="77.26953125" customWidth="1"/>
    <col min="6" max="6" width="8.7265625" customWidth="1"/>
    <col min="7" max="7" width="17.7265625" customWidth="1"/>
    <col min="8" max="8" width="9.7265625" customWidth="1"/>
    <col min="9" max="9" width="11.7265625" customWidth="1"/>
    <col min="10" max="10" width="2.08984375" customWidth="1"/>
    <col min="11" max="45" width="11.7265625" hidden="1" customWidth="1" outlineLevel="1"/>
    <col min="46" max="46" width="11.7265625" style="77" hidden="1" customWidth="1" outlineLevel="1"/>
    <col min="47" max="47" width="11.7265625" customWidth="1" collapsed="1"/>
    <col min="48" max="52" width="11.7265625" customWidth="1"/>
    <col min="53" max="55" width="10.7265625" style="1" customWidth="1"/>
    <col min="56" max="57" width="10.7265625" customWidth="1"/>
    <col min="58" max="58" width="1.7265625" style="8" customWidth="1"/>
    <col min="59" max="16384" width="9.08984375" hidden="1"/>
  </cols>
  <sheetData>
    <row r="1" spans="1:56" s="119" customFormat="1" ht="14.5">
      <c r="A1" s="118" t="str" cm="1">
        <f t="array" aca="1" ref="A1" ca="1">MID(CELL("filename",$A$1),FIND("]",CELL("filename",$A$1))+1,255)</f>
        <v>TIM</v>
      </c>
      <c r="G1" s="119" t="s">
        <v>515</v>
      </c>
      <c r="H1" s="38" t="str">
        <f ca="1">Checks!I7</f>
        <v>ERROR</v>
      </c>
      <c r="AT1" s="124"/>
    </row>
    <row r="2" spans="1:56" s="119" customFormat="1" ht="15" customHeight="1">
      <c r="AT2" s="124"/>
    </row>
    <row r="3" spans="1:56" s="119" customFormat="1" ht="15" customHeight="1">
      <c r="E3" s="119" t="s">
        <v>0</v>
      </c>
      <c r="F3" s="119" t="s">
        <v>1</v>
      </c>
      <c r="G3" s="119" t="s">
        <v>2</v>
      </c>
      <c r="H3" s="119" t="s">
        <v>3</v>
      </c>
      <c r="I3" s="119" t="str">
        <f>NGT_TO!I3</f>
        <v>Constant</v>
      </c>
      <c r="AT3" s="124"/>
      <c r="AU3" s="122" t="str">
        <f>NGT_TO!AU3</f>
        <v>Annual values</v>
      </c>
    </row>
    <row r="4" spans="1:56" s="119" customFormat="1" ht="15" customHeight="1">
      <c r="D4" s="121" t="s">
        <v>421</v>
      </c>
      <c r="E4" s="119" t="s">
        <v>6</v>
      </c>
      <c r="K4" s="122">
        <f>NGT_TO!K4</f>
        <v>33328</v>
      </c>
      <c r="L4" s="122">
        <f>NGT_TO!L4</f>
        <v>33694</v>
      </c>
      <c r="M4" s="122">
        <f>NGT_TO!M4</f>
        <v>34059</v>
      </c>
      <c r="N4" s="122">
        <f>NGT_TO!N4</f>
        <v>34424</v>
      </c>
      <c r="O4" s="122">
        <f>NGT_TO!O4</f>
        <v>34789</v>
      </c>
      <c r="P4" s="122">
        <f>NGT_TO!P4</f>
        <v>35155</v>
      </c>
      <c r="Q4" s="122">
        <f>NGT_TO!Q4</f>
        <v>35520</v>
      </c>
      <c r="R4" s="122">
        <f>NGT_TO!R4</f>
        <v>35885</v>
      </c>
      <c r="S4" s="122">
        <f>NGT_TO!S4</f>
        <v>36250</v>
      </c>
      <c r="T4" s="122">
        <f>NGT_TO!T4</f>
        <v>36616</v>
      </c>
      <c r="U4" s="122">
        <f>NGT_TO!U4</f>
        <v>36981</v>
      </c>
      <c r="V4" s="122">
        <f>NGT_TO!V4</f>
        <v>37346</v>
      </c>
      <c r="W4" s="122">
        <f>NGT_TO!W4</f>
        <v>37711</v>
      </c>
      <c r="X4" s="122">
        <f>NGT_TO!X4</f>
        <v>38077</v>
      </c>
      <c r="Y4" s="122">
        <f>NGT_TO!Y4</f>
        <v>38442</v>
      </c>
      <c r="Z4" s="122">
        <f>NGT_TO!Z4</f>
        <v>38807</v>
      </c>
      <c r="AA4" s="122">
        <f>NGT_TO!AA4</f>
        <v>39172</v>
      </c>
      <c r="AB4" s="122">
        <f>NGT_TO!AB4</f>
        <v>39538</v>
      </c>
      <c r="AC4" s="122">
        <f>NGT_TO!AC4</f>
        <v>39903</v>
      </c>
      <c r="AD4" s="122">
        <f>NGT_TO!AD4</f>
        <v>40268</v>
      </c>
      <c r="AE4" s="122">
        <f>NGT_TO!AE4</f>
        <v>40633</v>
      </c>
      <c r="AF4" s="122">
        <f>NGT_TO!AF4</f>
        <v>40999</v>
      </c>
      <c r="AG4" s="122">
        <f>NGT_TO!AG4</f>
        <v>41364</v>
      </c>
      <c r="AH4" s="122">
        <f>NGT_TO!AH4</f>
        <v>41729</v>
      </c>
      <c r="AI4" s="122">
        <f>NGT_TO!AI4</f>
        <v>42094</v>
      </c>
      <c r="AJ4" s="122">
        <f>NGT_TO!AJ4</f>
        <v>42460</v>
      </c>
      <c r="AK4" s="122">
        <f>NGT_TO!AK4</f>
        <v>42825</v>
      </c>
      <c r="AL4" s="122">
        <f>NGT_TO!AL4</f>
        <v>43190</v>
      </c>
      <c r="AM4" s="122">
        <f>NGT_TO!AM4</f>
        <v>43555</v>
      </c>
      <c r="AN4" s="122">
        <f>NGT_TO!AN4</f>
        <v>43921</v>
      </c>
      <c r="AO4" s="122">
        <f>NGT_TO!AO4</f>
        <v>44286</v>
      </c>
      <c r="AP4" s="122">
        <f>NGT_TO!AP4</f>
        <v>44651</v>
      </c>
      <c r="AQ4" s="122">
        <f>NGT_TO!AQ4</f>
        <v>45016</v>
      </c>
      <c r="AR4" s="122">
        <f>NGT_TO!AR4</f>
        <v>45382</v>
      </c>
      <c r="AS4" s="122">
        <f>NGT_TO!AS4</f>
        <v>45747</v>
      </c>
      <c r="AT4" s="123">
        <f>NGT_TO!AT4</f>
        <v>46112</v>
      </c>
      <c r="AU4" s="122">
        <f>NGT_TO!AU4</f>
        <v>46477</v>
      </c>
      <c r="AV4" s="122">
        <f>NGT_TO!AV4</f>
        <v>46843</v>
      </c>
      <c r="AW4" s="122">
        <f>NGT_TO!AW4</f>
        <v>47208</v>
      </c>
      <c r="AX4" s="122">
        <f>NGT_TO!AX4</f>
        <v>47573</v>
      </c>
      <c r="AY4" s="122">
        <f>NGT_TO!AY4</f>
        <v>47938</v>
      </c>
      <c r="BA4" s="127" t="s">
        <v>527</v>
      </c>
      <c r="BB4" s="127" t="s">
        <v>528</v>
      </c>
      <c r="BC4" s="127" t="s">
        <v>529</v>
      </c>
      <c r="BD4" s="127" t="s">
        <v>530</v>
      </c>
    </row>
    <row r="5" spans="1:56"/>
    <row r="6" spans="1:56" ht="20" thickBot="1">
      <c r="A6" s="15" t="s">
        <v>400</v>
      </c>
    </row>
    <row r="7" spans="1:56" ht="16.5" outlineLevel="1" thickTop="1">
      <c r="D7" s="1" t="str" cm="1">
        <f t="array" aca="1" ref="D7" ca="1">IFERROR(MID(_xlfn.FORMULATEXT(I7),FIND("=",_xlfn.FORMULATEXT(I7))+1,FIND("!",_xlfn.FORMULATEXT(I7))-2),MID(_xlfn.FORMULATEXT(INDEX(L7:AV7,MATCH(FALSE,ISBLANK(L7:AV7),0))),FIND("=",_xlfn.FORMULATEXT(INDEX(L7:AV7,MATCH(FALSE,ISBLANK(L7:AV7),0))))+1,FIND("!",_xlfn.FORMULATEXT(INDEX(L7:AV7,MATCH(FALSE,ISBLANK(L7:AV7),0))))-2))</f>
        <v>Totex</v>
      </c>
      <c r="E7" t="s">
        <v>677</v>
      </c>
      <c r="G7" t="str">
        <f t="shared" ref="G7:G12" si="0">price_label</f>
        <v>£m 23/24 prices</v>
      </c>
      <c r="AU7" s="95">
        <f>Totex!AU74</f>
        <v>6.083254347769862</v>
      </c>
      <c r="AV7" s="69">
        <f>Totex!AV74</f>
        <v>8.0254791671583572</v>
      </c>
      <c r="AW7" s="69">
        <f>Totex!AW74</f>
        <v>6.7819269838536229</v>
      </c>
      <c r="AX7" s="69">
        <f>Totex!AX74</f>
        <v>9.3493801699930099</v>
      </c>
      <c r="AY7" s="69">
        <f>Totex!AY74</f>
        <v>9.295886368293079</v>
      </c>
    </row>
    <row r="8" spans="1:56" outlineLevel="1">
      <c r="D8" s="1" t="str" cm="1">
        <f t="array" aca="1" ref="D8" ca="1">IFERROR(MID(_xlfn.FORMULATEXT(I8),FIND("=",_xlfn.FORMULATEXT(I8))+1,FIND("!",_xlfn.FORMULATEXT(I8))-2),MID(_xlfn.FORMULATEXT(INDEX(L8:AV8,MATCH(FALSE,ISBLANK(L8:AV8),0))),FIND("=",_xlfn.FORMULATEXT(INDEX(L8:AV8,MATCH(FALSE,ISBLANK(L8:AV8),0))))+1,FIND("!",_xlfn.FORMULATEXT(INDEX(L8:AV8,MATCH(FALSE,ISBLANK(L8:AV8),0))))-2))</f>
        <v>Totex</v>
      </c>
      <c r="E8" t="s">
        <v>678</v>
      </c>
      <c r="G8" t="str">
        <f t="shared" si="0"/>
        <v>£m 23/24 prices</v>
      </c>
      <c r="AU8" s="95">
        <f>Totex!AU75</f>
        <v>172.29588285899504</v>
      </c>
      <c r="AV8" s="69">
        <f>Totex!AV75</f>
        <v>164.5799390109743</v>
      </c>
      <c r="AW8" s="69">
        <f>Totex!AW75</f>
        <v>220.58340546594692</v>
      </c>
      <c r="AX8" s="69">
        <f>Totex!AX75</f>
        <v>205.11278702970912</v>
      </c>
      <c r="AY8" s="69">
        <f>Totex!AY75</f>
        <v>252.22369404902341</v>
      </c>
    </row>
    <row r="9" spans="1:56" outlineLevel="1">
      <c r="D9" s="1" t="str" cm="1">
        <f t="array" aca="1" ref="D9" ca="1">IFERROR(MID(_xlfn.FORMULATEXT(I9),FIND("=",_xlfn.FORMULATEXT(I9))+1,FIND("!",_xlfn.FORMULATEXT(I9))-2),MID(_xlfn.FORMULATEXT(INDEX(L9:AV9,MATCH(FALSE,ISBLANK(L9:AV9),0))),FIND("=",_xlfn.FORMULATEXT(INDEX(L9:AV9,MATCH(FALSE,ISBLANK(L9:AV9),0))))+1,FIND("!",_xlfn.FORMULATEXT(INDEX(L9:AV9,MATCH(FALSE,ISBLANK(L9:AV9),0))))-2))</f>
        <v>Totex</v>
      </c>
      <c r="E9" t="s">
        <v>679</v>
      </c>
      <c r="G9" t="str">
        <f t="shared" si="0"/>
        <v>£m 23/24 prices</v>
      </c>
      <c r="AU9" s="95">
        <f>Totex!AU76</f>
        <v>68.265749816546759</v>
      </c>
      <c r="AV9" s="69">
        <f>Totex!AV76</f>
        <v>74.609207266144622</v>
      </c>
      <c r="AW9" s="69">
        <f>Totex!AW76</f>
        <v>66.609324763270081</v>
      </c>
      <c r="AX9" s="69">
        <f>Totex!AX76</f>
        <v>56.859805367227835</v>
      </c>
      <c r="AY9" s="69">
        <f>Totex!AY76</f>
        <v>51.682832774284691</v>
      </c>
    </row>
    <row r="10" spans="1:56" outlineLevel="1">
      <c r="D10" s="1" t="str" cm="1">
        <f t="array" aca="1" ref="D10" ca="1">IFERROR(MID(_xlfn.FORMULATEXT(I10),FIND("=",_xlfn.FORMULATEXT(I10))+1,FIND("!",_xlfn.FORMULATEXT(I10))-2),MID(_xlfn.FORMULATEXT(INDEX(L10:AV10,MATCH(FALSE,ISBLANK(L10:AV10),0))),FIND("=",_xlfn.FORMULATEXT(INDEX(L10:AV10,MATCH(FALSE,ISBLANK(L10:AV10),0))))+1,FIND("!",_xlfn.FORMULATEXT(INDEX(L10:AV10,MATCH(FALSE,ISBLANK(L10:AV10),0))))-2))</f>
        <v>Totex</v>
      </c>
      <c r="E10" t="s">
        <v>680</v>
      </c>
      <c r="G10" t="str">
        <f t="shared" si="0"/>
        <v>£m 23/24 prices</v>
      </c>
      <c r="AU10" s="95">
        <f>Totex!AU77</f>
        <v>71.573252627557736</v>
      </c>
      <c r="AV10" s="69">
        <f>Totex!AV77</f>
        <v>69.953466893277351</v>
      </c>
      <c r="AW10" s="69">
        <f>Totex!AW77</f>
        <v>45.035692186239004</v>
      </c>
      <c r="AX10" s="69">
        <f>Totex!AX77</f>
        <v>33.716872944441441</v>
      </c>
      <c r="AY10" s="69">
        <f>Totex!AY77</f>
        <v>35.08490894999445</v>
      </c>
    </row>
    <row r="11" spans="1:56" outlineLevel="1">
      <c r="D11" s="1" t="str" cm="1">
        <f t="array" aca="1" ref="D11" ca="1">IFERROR(MID(_xlfn.FORMULATEXT(I11),FIND("=",_xlfn.FORMULATEXT(I11))+1,FIND("!",_xlfn.FORMULATEXT(I11))-2),MID(_xlfn.FORMULATEXT(INDEX(L11:AV11,MATCH(FALSE,ISBLANK(L11:AV11),0))),FIND("=",_xlfn.FORMULATEXT(INDEX(L11:AV11,MATCH(FALSE,ISBLANK(L11:AV11),0))))+1,FIND("!",_xlfn.FORMULATEXT(INDEX(L11:AV11,MATCH(FALSE,ISBLANK(L11:AV11),0))))-2))</f>
        <v>Totex</v>
      </c>
      <c r="E11" t="s">
        <v>681</v>
      </c>
      <c r="G11" t="str">
        <f t="shared" si="0"/>
        <v>£m 23/24 prices</v>
      </c>
      <c r="AU11" s="95">
        <f>Totex!AU78</f>
        <v>60.339907194756591</v>
      </c>
      <c r="AV11" s="69">
        <f>Totex!AV78</f>
        <v>61.137649679373752</v>
      </c>
      <c r="AW11" s="69">
        <f>Totex!AW78</f>
        <v>62.10549627488848</v>
      </c>
      <c r="AX11" s="69">
        <f>Totex!AX78</f>
        <v>63.338082086671037</v>
      </c>
      <c r="AY11" s="69">
        <f>Totex!AY78</f>
        <v>64.373997120249683</v>
      </c>
    </row>
    <row r="12" spans="1:56" outlineLevel="1">
      <c r="D12" s="1" t="str" cm="1">
        <f t="array" aca="1" ref="D12" ca="1">IFERROR(MID(_xlfn.FORMULATEXT(I12),FIND("=",_xlfn.FORMULATEXT(I12))+1,FIND("!",_xlfn.FORMULATEXT(I12))-2),MID(_xlfn.FORMULATEXT(INDEX(L12:AV12,MATCH(FALSE,ISBLANK(L12:AV12),0))),FIND("=",_xlfn.FORMULATEXT(INDEX(L12:AV12,MATCH(FALSE,ISBLANK(L12:AV12),0))))+1,FIND("!",_xlfn.FORMULATEXT(INDEX(L12:AV12,MATCH(FALSE,ISBLANK(L12:AV12),0))))-2))</f>
        <v>Totex</v>
      </c>
      <c r="E12" t="s">
        <v>682</v>
      </c>
      <c r="G12" t="str">
        <f t="shared" si="0"/>
        <v>£m 23/24 prices</v>
      </c>
      <c r="AU12" s="95">
        <f>Totex!AU79</f>
        <v>152.06127240811392</v>
      </c>
      <c r="AV12" s="69">
        <f>Totex!AV79</f>
        <v>156.04061876018005</v>
      </c>
      <c r="AW12" s="69">
        <f>Totex!AW79</f>
        <v>156.63421359875252</v>
      </c>
      <c r="AX12" s="69">
        <f>Totex!AX79</f>
        <v>146.57553265002804</v>
      </c>
      <c r="AY12" s="69">
        <f>Totex!AY79</f>
        <v>142.55772155829581</v>
      </c>
    </row>
    <row r="13" spans="1:56" outlineLevel="1">
      <c r="D13" s="1"/>
    </row>
    <row r="14" spans="1:56" outlineLevel="1">
      <c r="D14" s="1" t="str" cm="1">
        <f t="array" aca="1" ref="D14" ca="1">IFERROR(MID(_xlfn.FORMULATEXT(I14),FIND("=",_xlfn.FORMULATEXT(I14))+1,FIND("!",_xlfn.FORMULATEXT(I14))-2),MID(_xlfn.FORMULATEXT(INDEX(L14:AV14,MATCH(FALSE,ISBLANK(L14:AV14),0))),FIND("=",_xlfn.FORMULATEXT(INDEX(L14:AV14,MATCH(FALSE,ISBLANK(L14:AV14),0))))+1,FIND("!",_xlfn.FORMULATEXT(INDEX(L14:AV14,MATCH(FALSE,ISBLANK(L14:AV14),0))))-2))</f>
        <v>Totex</v>
      </c>
      <c r="E14" t="s">
        <v>683</v>
      </c>
      <c r="G14" t="str">
        <f t="shared" ref="G14:G19" si="1">price_label</f>
        <v>£m 23/24 prices</v>
      </c>
      <c r="AU14" s="95">
        <f>Totex!AU82</f>
        <v>0</v>
      </c>
      <c r="AV14" s="69">
        <f>Totex!AV82</f>
        <v>0</v>
      </c>
      <c r="AW14" s="69">
        <f>Totex!AW82</f>
        <v>4.1438633008999997</v>
      </c>
      <c r="AX14" s="69">
        <f>Totex!AX82</f>
        <v>5.5312558833999992</v>
      </c>
      <c r="AY14" s="69">
        <f>Totex!AY82</f>
        <v>8.7157826651000008</v>
      </c>
    </row>
    <row r="15" spans="1:56" outlineLevel="1">
      <c r="A15" s="1"/>
      <c r="D15" s="1" t="str" cm="1">
        <f t="array" aca="1" ref="D15" ca="1">IFERROR(MID(_xlfn.FORMULATEXT(I15),FIND("=",_xlfn.FORMULATEXT(I15))+1,FIND("!",_xlfn.FORMULATEXT(I15))-2),MID(_xlfn.FORMULATEXT(INDEX(L15:AV15,MATCH(FALSE,ISBLANK(L15:AV15),0))),FIND("=",_xlfn.FORMULATEXT(INDEX(L15:AV15,MATCH(FALSE,ISBLANK(L15:AV15),0))))+1,FIND("!",_xlfn.FORMULATEXT(INDEX(L15:AV15,MATCH(FALSE,ISBLANK(L15:AV15),0))))-2))</f>
        <v>Totex</v>
      </c>
      <c r="E15" t="s">
        <v>684</v>
      </c>
      <c r="G15" t="str">
        <f t="shared" si="1"/>
        <v>£m 23/24 prices</v>
      </c>
      <c r="AU15" s="95">
        <f>Totex!AU83</f>
        <v>268.41056601925101</v>
      </c>
      <c r="AV15" s="69">
        <f>Totex!AV83</f>
        <v>485.52581923988947</v>
      </c>
      <c r="AW15" s="69">
        <f>Totex!AW83</f>
        <v>469.30809664339171</v>
      </c>
      <c r="AX15" s="69">
        <f>Totex!AX83</f>
        <v>262.41109171892725</v>
      </c>
      <c r="AY15" s="69">
        <f>Totex!AY83</f>
        <v>188.88912319488645</v>
      </c>
      <c r="BA15" s="44"/>
    </row>
    <row r="16" spans="1:56" outlineLevel="1">
      <c r="A16" s="1"/>
      <c r="D16" s="1" t="str" cm="1">
        <f t="array" aca="1" ref="D16" ca="1">IFERROR(MID(_xlfn.FORMULATEXT(I16),FIND("=",_xlfn.FORMULATEXT(I16))+1,FIND("!",_xlfn.FORMULATEXT(I16))-2),MID(_xlfn.FORMULATEXT(INDEX(L16:AV16,MATCH(FALSE,ISBLANK(L16:AV16),0))),FIND("=",_xlfn.FORMULATEXT(INDEX(L16:AV16,MATCH(FALSE,ISBLANK(L16:AV16),0))))+1,FIND("!",_xlfn.FORMULATEXT(INDEX(L16:AV16,MATCH(FALSE,ISBLANK(L16:AV16),0))))-2))</f>
        <v>Totex</v>
      </c>
      <c r="E16" t="s">
        <v>685</v>
      </c>
      <c r="G16" t="str">
        <f t="shared" si="1"/>
        <v>£m 23/24 prices</v>
      </c>
      <c r="AU16" s="95">
        <f>Totex!AU84</f>
        <v>57.471227195496752</v>
      </c>
      <c r="AV16" s="69">
        <f>Totex!AV84</f>
        <v>31.945362644606096</v>
      </c>
      <c r="AW16" s="69">
        <f>Totex!AW84</f>
        <v>50.682355952122684</v>
      </c>
      <c r="AX16" s="69">
        <f>Totex!AX84</f>
        <v>20.390050887908291</v>
      </c>
      <c r="AY16" s="69">
        <f>Totex!AY84</f>
        <v>0</v>
      </c>
      <c r="BA16" s="44"/>
    </row>
    <row r="17" spans="1:53" outlineLevel="1">
      <c r="A17" s="1"/>
      <c r="D17" s="1" t="str" cm="1">
        <f t="array" aca="1" ref="D17" ca="1">IFERROR(MID(_xlfn.FORMULATEXT(I17),FIND("=",_xlfn.FORMULATEXT(I17))+1,FIND("!",_xlfn.FORMULATEXT(I17))-2),MID(_xlfn.FORMULATEXT(INDEX(L17:AV17,MATCH(FALSE,ISBLANK(L17:AV17),0))),FIND("=",_xlfn.FORMULATEXT(INDEX(L17:AV17,MATCH(FALSE,ISBLANK(L17:AV17),0))))+1,FIND("!",_xlfn.FORMULATEXT(INDEX(L17:AV17,MATCH(FALSE,ISBLANK(L17:AV17),0))))-2))</f>
        <v>Totex</v>
      </c>
      <c r="E17" t="s">
        <v>686</v>
      </c>
      <c r="G17" t="str">
        <f t="shared" si="1"/>
        <v>£m 23/24 prices</v>
      </c>
      <c r="AU17" s="95">
        <f>Totex!AU85</f>
        <v>3.9774560287488208</v>
      </c>
      <c r="AV17" s="69">
        <f>Totex!AV85</f>
        <v>15.031516864081985</v>
      </c>
      <c r="AW17" s="69">
        <f>Totex!AW85</f>
        <v>26.03780420456145</v>
      </c>
      <c r="AX17" s="69">
        <f>Totex!AX85</f>
        <v>6.6426575517922135</v>
      </c>
      <c r="AY17" s="69">
        <f>Totex!AY85</f>
        <v>0.41059197630307315</v>
      </c>
      <c r="BA17" s="44"/>
    </row>
    <row r="18" spans="1:53" outlineLevel="1">
      <c r="A18" s="1"/>
      <c r="D18" s="1" t="str" cm="1">
        <f t="array" aca="1" ref="D18" ca="1">IFERROR(MID(_xlfn.FORMULATEXT(I18),FIND("=",_xlfn.FORMULATEXT(I18))+1,FIND("!",_xlfn.FORMULATEXT(I18))-2),MID(_xlfn.FORMULATEXT(INDEX(L18:AV18,MATCH(FALSE,ISBLANK(L18:AV18),0))),FIND("=",_xlfn.FORMULATEXT(INDEX(L18:AV18,MATCH(FALSE,ISBLANK(L18:AV18),0))))+1,FIND("!",_xlfn.FORMULATEXT(INDEX(L18:AV18,MATCH(FALSE,ISBLANK(L18:AV18),0))))-2))</f>
        <v>Totex</v>
      </c>
      <c r="E18" t="s">
        <v>687</v>
      </c>
      <c r="G18" t="str">
        <f t="shared" si="1"/>
        <v>£m 23/24 prices</v>
      </c>
      <c r="AU18" s="95">
        <f>Totex!AU86</f>
        <v>3.1556000000000002</v>
      </c>
      <c r="AV18" s="69">
        <f>Totex!AV86</f>
        <v>1.7542</v>
      </c>
      <c r="AW18" s="69">
        <f>Totex!AW86</f>
        <v>1.7542</v>
      </c>
      <c r="AX18" s="69">
        <f>Totex!AX86</f>
        <v>0</v>
      </c>
      <c r="AY18" s="69">
        <f>Totex!AY86</f>
        <v>0</v>
      </c>
      <c r="BA18" s="44"/>
    </row>
    <row r="19" spans="1:53" outlineLevel="1">
      <c r="A19" s="1"/>
      <c r="D19" s="1" t="str" cm="1">
        <f t="array" aca="1" ref="D19" ca="1">IFERROR(MID(_xlfn.FORMULATEXT(I19),FIND("=",_xlfn.FORMULATEXT(I19))+1,FIND("!",_xlfn.FORMULATEXT(I19))-2),MID(_xlfn.FORMULATEXT(INDEX(L19:AV19,MATCH(FALSE,ISBLANK(L19:AV19),0))),FIND("=",_xlfn.FORMULATEXT(INDEX(L19:AV19,MATCH(FALSE,ISBLANK(L19:AV19),0))))+1,FIND("!",_xlfn.FORMULATEXT(INDEX(L19:AV19,MATCH(FALSE,ISBLANK(L19:AV19),0))))-2))</f>
        <v>Totex</v>
      </c>
      <c r="E19" t="s">
        <v>682</v>
      </c>
      <c r="G19" t="str">
        <f t="shared" si="1"/>
        <v>£m 23/24 prices</v>
      </c>
      <c r="AU19" s="95">
        <f>Totex!AU87</f>
        <v>0</v>
      </c>
      <c r="AV19" s="69">
        <f>Totex!AV87</f>
        <v>0</v>
      </c>
      <c r="AW19" s="69">
        <f>Totex!AW87</f>
        <v>0.32661128015910845</v>
      </c>
      <c r="AX19" s="69">
        <f>Totex!AX87</f>
        <v>3.4747581661517151</v>
      </c>
      <c r="AY19" s="69">
        <f>Totex!AY87</f>
        <v>2.4230976443476799</v>
      </c>
      <c r="BA19" s="44"/>
    </row>
    <row r="20" spans="1:53" outlineLevel="1">
      <c r="A20" s="2"/>
      <c r="AU20" s="3"/>
      <c r="AV20" s="3"/>
      <c r="AW20" s="3"/>
      <c r="AX20" s="3"/>
      <c r="AY20" s="3"/>
      <c r="BA20" s="44"/>
    </row>
    <row r="21" spans="1:53" outlineLevel="1">
      <c r="A21" s="1"/>
      <c r="D21" s="1" t="str" cm="1">
        <f t="array" aca="1" ref="D21" ca="1">IFERROR(MID(_xlfn.FORMULATEXT(I21),FIND("=",_xlfn.FORMULATEXT(I21))+1,FIND("!",_xlfn.FORMULATEXT(I21))-2),MID(_xlfn.FORMULATEXT(INDEX(L21:AV21,MATCH(FALSE,ISBLANK(L21:AV21),0))),FIND("=",_xlfn.FORMULATEXT(INDEX(L21:AV21,MATCH(FALSE,ISBLANK(L21:AV21),0))))+1,FIND("!",_xlfn.FORMULATEXT(INDEX(L21:AV21,MATCH(FALSE,ISBLANK(L21:AV21),0))))-2))</f>
        <v>Totex</v>
      </c>
      <c r="E21" t="s">
        <v>688</v>
      </c>
      <c r="G21" t="str">
        <f t="shared" ref="G21:G26" si="2">price_label</f>
        <v>£m 23/24 prices</v>
      </c>
      <c r="AU21" s="95">
        <f>Totex!AU48</f>
        <v>6.083254347769862</v>
      </c>
      <c r="AV21" s="69">
        <f>Totex!AV48</f>
        <v>8.0254791671583572</v>
      </c>
      <c r="AW21" s="69">
        <f>Totex!AW48</f>
        <v>6.7819269838536229</v>
      </c>
      <c r="AX21" s="69">
        <f>Totex!AX48</f>
        <v>9.3493801699930099</v>
      </c>
      <c r="AY21" s="69">
        <f>Totex!AY48</f>
        <v>9.295886368293079</v>
      </c>
    </row>
    <row r="22" spans="1:53" outlineLevel="1">
      <c r="A22" s="1"/>
      <c r="D22" s="1" t="str" cm="1">
        <f t="array" aca="1" ref="D22" ca="1">IFERROR(MID(_xlfn.FORMULATEXT(I22),FIND("=",_xlfn.FORMULATEXT(I22))+1,FIND("!",_xlfn.FORMULATEXT(I22))-2),MID(_xlfn.FORMULATEXT(INDEX(L22:AV22,MATCH(FALSE,ISBLANK(L22:AV22),0))),FIND("=",_xlfn.FORMULATEXT(INDEX(L22:AV22,MATCH(FALSE,ISBLANK(L22:AV22),0))))+1,FIND("!",_xlfn.FORMULATEXT(INDEX(L22:AV22,MATCH(FALSE,ISBLANK(L22:AV22),0))))-2))</f>
        <v>Totex</v>
      </c>
      <c r="E22" t="s">
        <v>689</v>
      </c>
      <c r="G22" t="str">
        <f t="shared" si="2"/>
        <v>£m 23/24 prices</v>
      </c>
      <c r="AU22" s="95">
        <f>Totex!AU49</f>
        <v>172.78306119773612</v>
      </c>
      <c r="AV22" s="69">
        <f>Totex!AV49</f>
        <v>166.39098845675611</v>
      </c>
      <c r="AW22" s="69">
        <f>Totex!AW49</f>
        <v>224.56507908178315</v>
      </c>
      <c r="AX22" s="69">
        <f>Totex!AX49</f>
        <v>205.78994854658873</v>
      </c>
      <c r="AY22" s="69">
        <f>Totex!AY49</f>
        <v>252.2256311317847</v>
      </c>
    </row>
    <row r="23" spans="1:53" outlineLevel="1">
      <c r="A23" s="1"/>
      <c r="D23" s="1" t="str" cm="1">
        <f t="array" aca="1" ref="D23" ca="1">IFERROR(MID(_xlfn.FORMULATEXT(I23),FIND("=",_xlfn.FORMULATEXT(I23))+1,FIND("!",_xlfn.FORMULATEXT(I23))-2),MID(_xlfn.FORMULATEXT(INDEX(L23:AV23,MATCH(FALSE,ISBLANK(L23:AV23),0))),FIND("=",_xlfn.FORMULATEXT(INDEX(L23:AV23,MATCH(FALSE,ISBLANK(L23:AV23),0))))+1,FIND("!",_xlfn.FORMULATEXT(INDEX(L23:AV23,MATCH(FALSE,ISBLANK(L23:AV23),0))))-2))</f>
        <v>Totex</v>
      </c>
      <c r="E23" t="s">
        <v>690</v>
      </c>
      <c r="G23" t="str">
        <f t="shared" si="2"/>
        <v>£m 23/24 prices</v>
      </c>
      <c r="AU23" s="95">
        <f>Totex!AU50</f>
        <v>68.265749816546759</v>
      </c>
      <c r="AV23" s="69">
        <f>Totex!AV50</f>
        <v>74.609207266144622</v>
      </c>
      <c r="AW23" s="69">
        <f>Totex!AW50</f>
        <v>66.609324763270081</v>
      </c>
      <c r="AX23" s="69">
        <f>Totex!AX50</f>
        <v>56.859805367227835</v>
      </c>
      <c r="AY23" s="69">
        <f>Totex!AY50</f>
        <v>51.682832774284691</v>
      </c>
    </row>
    <row r="24" spans="1:53" outlineLevel="1">
      <c r="A24" s="1"/>
      <c r="D24" s="1" t="str" cm="1">
        <f t="array" aca="1" ref="D24" ca="1">IFERROR(MID(_xlfn.FORMULATEXT(I24),FIND("=",_xlfn.FORMULATEXT(I24))+1,FIND("!",_xlfn.FORMULATEXT(I24))-2),MID(_xlfn.FORMULATEXT(INDEX(L24:AV24,MATCH(FALSE,ISBLANK(L24:AV24),0))),FIND("=",_xlfn.FORMULATEXT(INDEX(L24:AV24,MATCH(FALSE,ISBLANK(L24:AV24),0))))+1,FIND("!",_xlfn.FORMULATEXT(INDEX(L24:AV24,MATCH(FALSE,ISBLANK(L24:AV24),0))))-2))</f>
        <v>Totex</v>
      </c>
      <c r="E24" t="s">
        <v>691</v>
      </c>
      <c r="G24" t="str">
        <f t="shared" si="2"/>
        <v>£m 23/24 prices</v>
      </c>
      <c r="AU24" s="95">
        <f>Totex!AU51</f>
        <v>71.573252627557736</v>
      </c>
      <c r="AV24" s="69">
        <f>Totex!AV51</f>
        <v>69.953466893277351</v>
      </c>
      <c r="AW24" s="69">
        <f>Totex!AW51</f>
        <v>45.035692186239004</v>
      </c>
      <c r="AX24" s="69">
        <f>Totex!AX51</f>
        <v>33.716872944441441</v>
      </c>
      <c r="AY24" s="69">
        <f>Totex!AY51</f>
        <v>35.08490894999445</v>
      </c>
    </row>
    <row r="25" spans="1:53" outlineLevel="1">
      <c r="A25" s="1"/>
      <c r="D25" s="1" t="str" cm="1">
        <f t="array" aca="1" ref="D25" ca="1">IFERROR(MID(_xlfn.FORMULATEXT(I25),FIND("=",_xlfn.FORMULATEXT(I25))+1,FIND("!",_xlfn.FORMULATEXT(I25))-2),MID(_xlfn.FORMULATEXT(INDEX(L25:AV25,MATCH(FALSE,ISBLANK(L25:AV25),0))),FIND("=",_xlfn.FORMULATEXT(INDEX(L25:AV25,MATCH(FALSE,ISBLANK(L25:AV25),0))))+1,FIND("!",_xlfn.FORMULATEXT(INDEX(L25:AV25,MATCH(FALSE,ISBLANK(L25:AV25),0))))-2))</f>
        <v>Totex</v>
      </c>
      <c r="E25" t="s">
        <v>692</v>
      </c>
      <c r="G25" t="str">
        <f t="shared" si="2"/>
        <v>£m 23/24 prices</v>
      </c>
      <c r="AU25" s="95">
        <f>Totex!AU52</f>
        <v>60.339907194756591</v>
      </c>
      <c r="AV25" s="69">
        <f>Totex!AV52</f>
        <v>61.137649679373752</v>
      </c>
      <c r="AW25" s="69">
        <f>Totex!AW52</f>
        <v>62.10549627488848</v>
      </c>
      <c r="AX25" s="69">
        <f>Totex!AX52</f>
        <v>63.338082086671037</v>
      </c>
      <c r="AY25" s="69">
        <f>Totex!AY52</f>
        <v>64.373997120249683</v>
      </c>
    </row>
    <row r="26" spans="1:53" outlineLevel="1">
      <c r="A26" s="1"/>
      <c r="D26" s="1" t="str" cm="1">
        <f t="array" aca="1" ref="D26" ca="1">IFERROR(MID(_xlfn.FORMULATEXT(I26),FIND("=",_xlfn.FORMULATEXT(I26))+1,FIND("!",_xlfn.FORMULATEXT(I26))-2),MID(_xlfn.FORMULATEXT(INDEX(L26:AV26,MATCH(FALSE,ISBLANK(L26:AV26),0))),FIND("=",_xlfn.FORMULATEXT(INDEX(L26:AV26,MATCH(FALSE,ISBLANK(L26:AV26),0))))+1,FIND("!",_xlfn.FORMULATEXT(INDEX(L26:AV26,MATCH(FALSE,ISBLANK(L26:AV26),0))))-2))</f>
        <v>Totex</v>
      </c>
      <c r="E26" t="s">
        <v>693</v>
      </c>
      <c r="G26" t="str">
        <f t="shared" si="2"/>
        <v>£m 23/24 prices</v>
      </c>
      <c r="AU26" s="95">
        <f>Totex!AU53</f>
        <v>152.06127240811392</v>
      </c>
      <c r="AV26" s="69">
        <f>Totex!AV53</f>
        <v>156.04061876018005</v>
      </c>
      <c r="AW26" s="69">
        <f>Totex!AW53</f>
        <v>156.63421359875252</v>
      </c>
      <c r="AX26" s="69">
        <f>Totex!AX53</f>
        <v>146.57553265002804</v>
      </c>
      <c r="AY26" s="69">
        <f>Totex!AY53</f>
        <v>142.55772155829581</v>
      </c>
    </row>
    <row r="27" spans="1:53" outlineLevel="1"/>
    <row r="28" spans="1:53" outlineLevel="1">
      <c r="D28" s="1" t="str" cm="1">
        <f t="array" aca="1" ref="D28" ca="1">IFERROR(MID(_xlfn.FORMULATEXT(I28),FIND("=",_xlfn.FORMULATEXT(I28))+1,FIND("!",_xlfn.FORMULATEXT(I28))-2),MID(_xlfn.FORMULATEXT(INDEX(L28:AV28,MATCH(FALSE,ISBLANK(L28:AV28),0))),FIND("=",_xlfn.FORMULATEXT(INDEX(L28:AV28,MATCH(FALSE,ISBLANK(L28:AV28),0))))+1,FIND("!",_xlfn.FORMULATEXT(INDEX(L28:AV28,MATCH(FALSE,ISBLANK(L28:AV28),0))))-2))</f>
        <v>Totex</v>
      </c>
      <c r="E28" t="s">
        <v>694</v>
      </c>
      <c r="G28" t="str">
        <f t="shared" ref="G28:G33" si="3">price_label</f>
        <v>£m 23/24 prices</v>
      </c>
      <c r="AU28" s="95">
        <f>Totex!AU56</f>
        <v>0</v>
      </c>
      <c r="AV28" s="69">
        <f>Totex!AV56</f>
        <v>0</v>
      </c>
      <c r="AW28" s="69">
        <f>Totex!AW56</f>
        <v>4.1438633008999997</v>
      </c>
      <c r="AX28" s="69">
        <f>Totex!AX56</f>
        <v>5.5312558833999992</v>
      </c>
      <c r="AY28" s="69">
        <f>Totex!AY56</f>
        <v>8.7157826651000008</v>
      </c>
    </row>
    <row r="29" spans="1:53" outlineLevel="1">
      <c r="D29" s="1" t="str" cm="1">
        <f t="array" aca="1" ref="D29" ca="1">IFERROR(MID(_xlfn.FORMULATEXT(I29),FIND("=",_xlfn.FORMULATEXT(I29))+1,FIND("!",_xlfn.FORMULATEXT(I29))-2),MID(_xlfn.FORMULATEXT(INDEX(L29:AV29,MATCH(FALSE,ISBLANK(L29:AV29),0))),FIND("=",_xlfn.FORMULATEXT(INDEX(L29:AV29,MATCH(FALSE,ISBLANK(L29:AV29),0))))+1,FIND("!",_xlfn.FORMULATEXT(INDEX(L29:AV29,MATCH(FALSE,ISBLANK(L29:AV29),0))))-2))</f>
        <v>Totex</v>
      </c>
      <c r="E29" t="s">
        <v>695</v>
      </c>
      <c r="G29" t="str">
        <f t="shared" si="3"/>
        <v>£m 23/24 prices</v>
      </c>
      <c r="AU29" s="95">
        <f>Totex!AU57</f>
        <v>268.41056601925101</v>
      </c>
      <c r="AV29" s="69">
        <f>Totex!AV57</f>
        <v>485.52581923988947</v>
      </c>
      <c r="AW29" s="69">
        <f>Totex!AW57</f>
        <v>469.30809664339171</v>
      </c>
      <c r="AX29" s="69">
        <f>Totex!AX57</f>
        <v>262.41109171892725</v>
      </c>
      <c r="AY29" s="69">
        <f>Totex!AY57</f>
        <v>188.88912319488645</v>
      </c>
    </row>
    <row r="30" spans="1:53" outlineLevel="1">
      <c r="D30" s="1" t="str" cm="1">
        <f t="array" aca="1" ref="D30" ca="1">IFERROR(MID(_xlfn.FORMULATEXT(I30),FIND("=",_xlfn.FORMULATEXT(I30))+1,FIND("!",_xlfn.FORMULATEXT(I30))-2),MID(_xlfn.FORMULATEXT(INDEX(L30:AV30,MATCH(FALSE,ISBLANK(L30:AV30),0))),FIND("=",_xlfn.FORMULATEXT(INDEX(L30:AV30,MATCH(FALSE,ISBLANK(L30:AV30),0))))+1,FIND("!",_xlfn.FORMULATEXT(INDEX(L30:AV30,MATCH(FALSE,ISBLANK(L30:AV30),0))))-2))</f>
        <v>Totex</v>
      </c>
      <c r="E30" t="s">
        <v>696</v>
      </c>
      <c r="G30" t="str">
        <f t="shared" si="3"/>
        <v>£m 23/24 prices</v>
      </c>
      <c r="AU30" s="95">
        <f>Totex!AU58</f>
        <v>41.924399999999999</v>
      </c>
      <c r="AV30" s="69">
        <f>Totex!AV58</f>
        <v>23.305800000000001</v>
      </c>
      <c r="AW30" s="69">
        <f>Totex!AW58</f>
        <v>42.04279330751659</v>
      </c>
      <c r="AX30" s="69">
        <f>Totex!AX58</f>
        <v>20.390050887908291</v>
      </c>
      <c r="AY30" s="69">
        <f>Totex!AY58</f>
        <v>0</v>
      </c>
    </row>
    <row r="31" spans="1:53" outlineLevel="1">
      <c r="D31" s="1" t="str" cm="1">
        <f t="array" aca="1" ref="D31" ca="1">IFERROR(MID(_xlfn.FORMULATEXT(I31),FIND("=",_xlfn.FORMULATEXT(I31))+1,FIND("!",_xlfn.FORMULATEXT(I31))-2),MID(_xlfn.FORMULATEXT(INDEX(L31:AV31,MATCH(FALSE,ISBLANK(L31:AV31),0))),FIND("=",_xlfn.FORMULATEXT(INDEX(L31:AV31,MATCH(FALSE,ISBLANK(L31:AV31),0))))+1,FIND("!",_xlfn.FORMULATEXT(INDEX(L31:AV31,MATCH(FALSE,ISBLANK(L31:AV31),0))))-2))</f>
        <v>Totex</v>
      </c>
      <c r="E31" t="s">
        <v>697</v>
      </c>
      <c r="G31" t="str">
        <f t="shared" si="3"/>
        <v>£m 23/24 prices</v>
      </c>
      <c r="AU31" s="95">
        <f>Totex!AU59</f>
        <v>3.9774560287488208</v>
      </c>
      <c r="AV31" s="69">
        <f>Totex!AV59</f>
        <v>15.031516864081985</v>
      </c>
      <c r="AW31" s="69">
        <f>Totex!AW59</f>
        <v>26.03780420456145</v>
      </c>
      <c r="AX31" s="69">
        <f>Totex!AX59</f>
        <v>6.6426575517922135</v>
      </c>
      <c r="AY31" s="69">
        <f>Totex!AY59</f>
        <v>0.41059197630307315</v>
      </c>
    </row>
    <row r="32" spans="1:53" outlineLevel="1">
      <c r="D32" s="1" t="str" cm="1">
        <f t="array" aca="1" ref="D32" ca="1">IFERROR(MID(_xlfn.FORMULATEXT(I32),FIND("=",_xlfn.FORMULATEXT(I32))+1,FIND("!",_xlfn.FORMULATEXT(I32))-2),MID(_xlfn.FORMULATEXT(INDEX(L32:AV32,MATCH(FALSE,ISBLANK(L32:AV32),0))),FIND("=",_xlfn.FORMULATEXT(INDEX(L32:AV32,MATCH(FALSE,ISBLANK(L32:AV32),0))))+1,FIND("!",_xlfn.FORMULATEXT(INDEX(L32:AV32,MATCH(FALSE,ISBLANK(L32:AV32),0))))-2))</f>
        <v>Totex</v>
      </c>
      <c r="E32" t="s">
        <v>698</v>
      </c>
      <c r="G32" t="str">
        <f t="shared" si="3"/>
        <v>£m 23/24 prices</v>
      </c>
      <c r="AU32" s="95">
        <f>Totex!AU60</f>
        <v>3.1556000000000002</v>
      </c>
      <c r="AV32" s="69">
        <f>Totex!AV60</f>
        <v>1.7542</v>
      </c>
      <c r="AW32" s="69">
        <f>Totex!AW60</f>
        <v>1.7542</v>
      </c>
      <c r="AX32" s="69">
        <f>Totex!AX60</f>
        <v>0</v>
      </c>
      <c r="AY32" s="69">
        <f>Totex!AY60</f>
        <v>0</v>
      </c>
    </row>
    <row r="33" spans="1:54" outlineLevel="1">
      <c r="D33" s="1" t="str" cm="1">
        <f t="array" aca="1" ref="D33" ca="1">IFERROR(MID(_xlfn.FORMULATEXT(I33),FIND("=",_xlfn.FORMULATEXT(I33))+1,FIND("!",_xlfn.FORMULATEXT(I33))-2),MID(_xlfn.FORMULATEXT(INDEX(L33:AV33,MATCH(FALSE,ISBLANK(L33:AV33),0))),FIND("=",_xlfn.FORMULATEXT(INDEX(L33:AV33,MATCH(FALSE,ISBLANK(L33:AV33),0))))+1,FIND("!",_xlfn.FORMULATEXT(INDEX(L33:AV33,MATCH(FALSE,ISBLANK(L33:AV33),0))))-2))</f>
        <v>Totex</v>
      </c>
      <c r="E33" t="s">
        <v>699</v>
      </c>
      <c r="G33" t="str">
        <f t="shared" si="3"/>
        <v>£m 23/24 prices</v>
      </c>
      <c r="AU33" s="95">
        <f>Totex!AU61</f>
        <v>0</v>
      </c>
      <c r="AV33" s="69">
        <f>Totex!AV61</f>
        <v>0</v>
      </c>
      <c r="AW33" s="69">
        <f>Totex!AW61</f>
        <v>0.32661128015910845</v>
      </c>
      <c r="AX33" s="69">
        <f>Totex!AX61</f>
        <v>3.4747581661517151</v>
      </c>
      <c r="AY33" s="69">
        <f>Totex!AY61</f>
        <v>2.4230976443476799</v>
      </c>
    </row>
    <row r="34" spans="1:54" outlineLevel="1">
      <c r="D34" s="1"/>
    </row>
    <row r="35" spans="1:54" outlineLevel="1">
      <c r="D35" s="1" t="str" cm="1">
        <f t="array" aca="1" ref="D35" ca="1">IFERROR(MID(_xlfn.FORMULATEXT(I35),FIND("=",_xlfn.FORMULATEXT(I35))+1,FIND("!",_xlfn.FORMULATEXT(I35))-2),MID(_xlfn.FORMULATEXT(INDEX(L35:AV35,MATCH(FALSE,ISBLANK(L35:AV35),0))),FIND("=",_xlfn.FORMULATEXT(INDEX(L35:AV35,MATCH(FALSE,ISBLANK(L35:AV35),0))))+1,FIND("!",_xlfn.FORMULATEXT(INDEX(L35:AV35,MATCH(FALSE,ISBLANK(L35:AV35),0))))-2))</f>
        <v>Transform_TO</v>
      </c>
      <c r="E35" t="s">
        <v>399</v>
      </c>
      <c r="G35" t="s">
        <v>33</v>
      </c>
      <c r="I35" s="70">
        <f>Transform_TO!I43</f>
        <v>0.61</v>
      </c>
      <c r="AT35" s="100"/>
    </row>
    <row r="36" spans="1:54" outlineLevel="1">
      <c r="D36" s="1" t="str" cm="1">
        <f t="array" aca="1" ref="D36" ca="1">IFERROR(MID(_xlfn.FORMULATEXT(I36),FIND("=",_xlfn.FORMULATEXT(I36))+1,FIND("!",_xlfn.FORMULATEXT(I36))-2),MID(_xlfn.FORMULATEXT(INDEX(L36:AV36,MATCH(FALSE,ISBLANK(L36:AV36),0))),FIND("=",_xlfn.FORMULATEXT(INDEX(L36:AV36,MATCH(FALSE,ISBLANK(L36:AV36),0))))+1,FIND("!",_xlfn.FORMULATEXT(INDEX(L36:AV36,MATCH(FALSE,ISBLANK(L36:AV36),0))))-2))</f>
        <v>Transform_TO</v>
      </c>
      <c r="E36" t="s">
        <v>9</v>
      </c>
      <c r="G36" t="s">
        <v>33</v>
      </c>
      <c r="AU36" s="99">
        <f>Transform_TO!AU40</f>
        <v>0.59</v>
      </c>
      <c r="AV36" s="70">
        <f>Transform_TO!AV40</f>
        <v>0.59</v>
      </c>
      <c r="AW36" s="70">
        <f>Transform_TO!AW40</f>
        <v>0.59</v>
      </c>
      <c r="AX36" s="70">
        <f>Transform_TO!AX40</f>
        <v>0.59</v>
      </c>
      <c r="AY36" s="70">
        <f>Transform_TO!AY40</f>
        <v>0.59</v>
      </c>
    </row>
    <row r="37" spans="1:54" outlineLevel="1">
      <c r="D37" s="1" t="str" cm="1">
        <f t="array" aca="1" ref="D37" ca="1">IFERROR(MID(_xlfn.FORMULATEXT(I37),FIND("=",_xlfn.FORMULATEXT(I37))+1,FIND("!",_xlfn.FORMULATEXT(I37))-2),MID(_xlfn.FORMULATEXT(INDEX(L37:AV37,MATCH(FALSE,ISBLANK(L37:AV37),0))),FIND("=",_xlfn.FORMULATEXT(INDEX(L37:AV37,MATCH(FALSE,ISBLANK(L37:AV37),0))))+1,FIND("!",_xlfn.FORMULATEXT(INDEX(L37:AV37,MATCH(FALSE,ISBLANK(L37:AV37),0))))-2))</f>
        <v>Transform_TO</v>
      </c>
      <c r="E37" t="s">
        <v>11</v>
      </c>
      <c r="G37" t="s">
        <v>33</v>
      </c>
      <c r="AU37" s="99">
        <f>Transform_TO!AU41</f>
        <v>0.9</v>
      </c>
      <c r="AV37" s="70">
        <f>Transform_TO!AV41</f>
        <v>0.9</v>
      </c>
      <c r="AW37" s="70">
        <f>Transform_TO!AW41</f>
        <v>0.9</v>
      </c>
      <c r="AX37" s="70">
        <f>Transform_TO!AX41</f>
        <v>0.9</v>
      </c>
      <c r="AY37" s="70">
        <f>Transform_TO!AY41</f>
        <v>0.9</v>
      </c>
    </row>
    <row r="38" spans="1:54">
      <c r="D38" s="1"/>
    </row>
    <row r="39" spans="1:54" ht="20" thickBot="1">
      <c r="A39" s="15" t="s">
        <v>143</v>
      </c>
      <c r="AU39" s="3"/>
      <c r="AV39" s="3"/>
      <c r="AW39" s="3"/>
      <c r="AX39" s="3"/>
      <c r="AY39" s="3"/>
      <c r="BA39" s="44"/>
    </row>
    <row r="40" spans="1:54" ht="16.5" thickTop="1">
      <c r="E40" t="s">
        <v>700</v>
      </c>
      <c r="G40" t="str">
        <f>price_label</f>
        <v>£m 23/24 prices</v>
      </c>
      <c r="AU40" s="96">
        <f>SUM(AU7:AU12)-SUM(AU21:AU26)</f>
        <v>-0.48717833874104599</v>
      </c>
      <c r="AV40" s="61">
        <f>SUM(AV7:AV12)-SUM(AV21:AV26)</f>
        <v>-1.8110494457818049</v>
      </c>
      <c r="AW40" s="61">
        <f>SUM(AW7:AW12)-SUM(AW21:AW26)</f>
        <v>-3.9816736158362573</v>
      </c>
      <c r="AX40" s="61">
        <f>SUM(AX7:AX12)-SUM(AX21:AX26)</f>
        <v>-0.6771615168796643</v>
      </c>
      <c r="AY40" s="61">
        <f>SUM(AY7:AY12)-SUM(AY21:AY26)</f>
        <v>-1.9370827612874564E-3</v>
      </c>
      <c r="AZ40" s="1"/>
      <c r="BA40" s="44" t="str">
        <f ca="1">$A$1</f>
        <v>TIM</v>
      </c>
      <c r="BB40" s="1" t="str">
        <f>$A$39</f>
        <v>Pre-TIM overspend (underspend)</v>
      </c>
    </row>
    <row r="41" spans="1:54">
      <c r="E41" t="s">
        <v>701</v>
      </c>
      <c r="G41" t="str">
        <f>price_label</f>
        <v>£m 23/24 prices</v>
      </c>
      <c r="AU41" s="96">
        <f>SUM(AU14:AU19)-SUM(AU28:AU33)</f>
        <v>15.546827195496746</v>
      </c>
      <c r="AV41" s="61">
        <f>SUM(AV14:AV19)-SUM(AV28:AV33)</f>
        <v>8.6395626446060305</v>
      </c>
      <c r="AW41" s="61">
        <f>SUM(AW14:AW19)-SUM(AW28:AW33)</f>
        <v>8.6395626446060305</v>
      </c>
      <c r="AX41" s="61">
        <f>SUM(AX14:AX19)-SUM(AX28:AX33)</f>
        <v>0</v>
      </c>
      <c r="AY41" s="61">
        <f>SUM(AY14:AY19)-SUM(AY28:AY33)</f>
        <v>0</v>
      </c>
      <c r="AZ41" s="1"/>
      <c r="BA41" s="44" t="str">
        <f ca="1">$A$1</f>
        <v>TIM</v>
      </c>
      <c r="BB41" s="1" t="str">
        <f t="shared" ref="BB41" si="4">$A$39</f>
        <v>Pre-TIM overspend (underspend)</v>
      </c>
    </row>
    <row r="42" spans="1:54">
      <c r="BA42" s="44"/>
    </row>
    <row r="43" spans="1:54" ht="20" thickBot="1">
      <c r="A43" s="15" t="s">
        <v>144</v>
      </c>
      <c r="BA43" s="44"/>
    </row>
    <row r="44" spans="1:54" ht="16.5" thickTop="1">
      <c r="E44" t="s">
        <v>242</v>
      </c>
      <c r="G44" t="str">
        <f>price_label</f>
        <v>£m 23/24 prices</v>
      </c>
      <c r="AU44" s="96">
        <f t="shared" ref="AU44:AY45" si="5">AU40*$I$35</f>
        <v>-0.29717878663203806</v>
      </c>
      <c r="AV44" s="61">
        <f t="shared" si="5"/>
        <v>-1.1047401619269011</v>
      </c>
      <c r="AW44" s="61">
        <f t="shared" si="5"/>
        <v>-2.4288209056601171</v>
      </c>
      <c r="AX44" s="61">
        <f t="shared" si="5"/>
        <v>-0.41306852529659521</v>
      </c>
      <c r="AY44" s="61">
        <f t="shared" si="5"/>
        <v>-1.1816204843853484E-3</v>
      </c>
      <c r="BA44" s="44" t="str">
        <f t="shared" ref="BA44:BA62" ca="1" si="6">$A$1</f>
        <v>TIM</v>
      </c>
      <c r="BB44" s="1" t="str">
        <f>$A$43</f>
        <v>Post-TIM overspend (underspend)</v>
      </c>
    </row>
    <row r="45" spans="1:54">
      <c r="E45" t="s">
        <v>243</v>
      </c>
      <c r="G45" t="str">
        <f>price_label</f>
        <v>£m 23/24 prices</v>
      </c>
      <c r="AU45" s="96">
        <f t="shared" si="5"/>
        <v>9.4835645892530156</v>
      </c>
      <c r="AV45" s="61">
        <f t="shared" si="5"/>
        <v>5.2701332132096788</v>
      </c>
      <c r="AW45" s="61">
        <f t="shared" si="5"/>
        <v>5.2701332132096788</v>
      </c>
      <c r="AX45" s="61">
        <f t="shared" si="5"/>
        <v>0</v>
      </c>
      <c r="AY45" s="61">
        <f t="shared" si="5"/>
        <v>0</v>
      </c>
      <c r="BA45" s="44" t="str">
        <f t="shared" ca="1" si="6"/>
        <v>TIM</v>
      </c>
      <c r="BB45" s="1" t="str">
        <f t="shared" ref="BB45" si="7">$A$43</f>
        <v>Post-TIM overspend (underspend)</v>
      </c>
    </row>
    <row r="46" spans="1:54">
      <c r="BA46" s="44"/>
    </row>
    <row r="47" spans="1:54" ht="20" thickBot="1">
      <c r="A47" s="15" t="s">
        <v>145</v>
      </c>
      <c r="BA47" s="44"/>
    </row>
    <row r="48" spans="1:54" ht="16.5" thickTop="1">
      <c r="E48" t="s">
        <v>244</v>
      </c>
      <c r="G48" t="str">
        <f>price_label</f>
        <v>£m 23/24 prices</v>
      </c>
      <c r="AU48" s="96">
        <f>SUM(AU21:AU26,AU44)</f>
        <v>530.80931880584899</v>
      </c>
      <c r="AV48" s="61">
        <f>SUM(AV21:AV26,AV44)</f>
        <v>535.05267006096335</v>
      </c>
      <c r="AW48" s="61">
        <f>SUM(AW21:AW26,AW44)</f>
        <v>559.30291198312671</v>
      </c>
      <c r="AX48" s="61">
        <f>SUM(AX21:AX26,AX44)</f>
        <v>515.21655323965354</v>
      </c>
      <c r="AY48" s="61">
        <f>SUM(AY21:AY26,AY44)</f>
        <v>555.21979628241797</v>
      </c>
      <c r="BA48" s="44" t="str">
        <f t="shared" ca="1" si="6"/>
        <v>TIM</v>
      </c>
      <c r="BB48" s="1" t="str">
        <f>$A$47</f>
        <v>Post-TIM totex</v>
      </c>
    </row>
    <row r="49" spans="1:55">
      <c r="E49" t="s">
        <v>245</v>
      </c>
      <c r="G49" t="str">
        <f>price_label</f>
        <v>£m 23/24 prices</v>
      </c>
      <c r="AU49" s="96">
        <f>SUM(AU28:AU33,AU45)</f>
        <v>326.95158663725283</v>
      </c>
      <c r="AV49" s="61">
        <f>SUM(AV28:AV33,AV45)</f>
        <v>530.88746931718106</v>
      </c>
      <c r="AW49" s="61">
        <f>SUM(AW28:AW33,AW45)</f>
        <v>548.8835019497385</v>
      </c>
      <c r="AX49" s="61">
        <f>SUM(AX28:AX33,AX45)</f>
        <v>298.44981420817948</v>
      </c>
      <c r="AY49" s="61">
        <f>SUM(AY28:AY33,AY45)</f>
        <v>200.43859548063719</v>
      </c>
      <c r="BA49" s="44" t="str">
        <f t="shared" ca="1" si="6"/>
        <v>TIM</v>
      </c>
      <c r="BB49" s="1" t="str">
        <f>$A$47</f>
        <v>Post-TIM totex</v>
      </c>
    </row>
    <row r="50" spans="1:55">
      <c r="BA50" s="44"/>
    </row>
    <row r="51" spans="1:55" ht="20" thickBot="1">
      <c r="A51" s="15" t="s">
        <v>146</v>
      </c>
      <c r="BA51" s="44"/>
    </row>
    <row r="52" spans="1:55" ht="18" thickTop="1" thickBot="1">
      <c r="B52" s="17" t="s">
        <v>141</v>
      </c>
      <c r="BA52" s="44"/>
    </row>
    <row r="53" spans="1:55" ht="16.5" thickTop="1">
      <c r="E53" t="s">
        <v>316</v>
      </c>
      <c r="G53" t="str">
        <f>price_label</f>
        <v>£m 23/24 prices</v>
      </c>
      <c r="AU53" s="96">
        <f>AU48*(1-AU36)</f>
        <v>217.6318207103981</v>
      </c>
      <c r="AV53" s="61">
        <f>AV48*(1-AV36)</f>
        <v>219.37159472499499</v>
      </c>
      <c r="AW53" s="61">
        <f>AW48*(1-AW36)</f>
        <v>229.31419391308197</v>
      </c>
      <c r="AX53" s="61">
        <f>AX48*(1-AX36)</f>
        <v>211.23878682825796</v>
      </c>
      <c r="AY53" s="61">
        <f>AY48*(1-AY36)</f>
        <v>227.64011647579139</v>
      </c>
      <c r="BA53" s="44" t="str">
        <f t="shared" ca="1" si="6"/>
        <v>TIM</v>
      </c>
      <c r="BB53" s="1" t="str">
        <f>$A$51</f>
        <v>Capitalisation split</v>
      </c>
      <c r="BC53" s="1" t="str">
        <f>$B$52</f>
        <v>Cap Rate 1</v>
      </c>
    </row>
    <row r="54" spans="1:55">
      <c r="E54" t="s">
        <v>317</v>
      </c>
      <c r="G54" t="str">
        <f>price_label</f>
        <v>£m 23/24 prices</v>
      </c>
      <c r="AU54" s="96">
        <f>AU48*AU36</f>
        <v>313.17749809545091</v>
      </c>
      <c r="AV54" s="61">
        <f>AV48*AV36</f>
        <v>315.68107533596839</v>
      </c>
      <c r="AW54" s="61">
        <f>AW48*AW36</f>
        <v>329.98871807004474</v>
      </c>
      <c r="AX54" s="61">
        <f>AX48*AX36</f>
        <v>303.97776641139558</v>
      </c>
      <c r="AY54" s="61">
        <f>AY48*AY36</f>
        <v>327.57967980662659</v>
      </c>
      <c r="BA54" s="44" t="str">
        <f t="shared" ca="1" si="6"/>
        <v>TIM</v>
      </c>
      <c r="BB54" s="1" t="str">
        <f>$A$51</f>
        <v>Capitalisation split</v>
      </c>
      <c r="BC54" s="1" t="str">
        <f>$B$52</f>
        <v>Cap Rate 1</v>
      </c>
    </row>
    <row r="55" spans="1:55">
      <c r="BA55" s="44"/>
    </row>
    <row r="56" spans="1:55" ht="17.5" thickBot="1">
      <c r="B56" s="17" t="s">
        <v>142</v>
      </c>
      <c r="BA56" s="44"/>
    </row>
    <row r="57" spans="1:55" ht="16.5" thickTop="1">
      <c r="E57" t="s">
        <v>318</v>
      </c>
      <c r="G57" t="str">
        <f>price_label</f>
        <v>£m 23/24 prices</v>
      </c>
      <c r="AU57" s="96">
        <f>AU49*(1-AU37)</f>
        <v>32.695158663725273</v>
      </c>
      <c r="AV57" s="61">
        <f>AV49*(1-AV37)</f>
        <v>53.088746931718092</v>
      </c>
      <c r="AW57" s="61">
        <f>AW49*(1-AW37)</f>
        <v>54.888350194973839</v>
      </c>
      <c r="AX57" s="61">
        <f>AX49*(1-AX37)</f>
        <v>29.844981420817941</v>
      </c>
      <c r="AY57" s="61">
        <f>AY49*(1-AY37)</f>
        <v>20.043859548063715</v>
      </c>
      <c r="BA57" s="44" t="str">
        <f t="shared" ca="1" si="6"/>
        <v>TIM</v>
      </c>
      <c r="BB57" s="1" t="str">
        <f t="shared" ref="BB57:BB58" si="8">$A$51</f>
        <v>Capitalisation split</v>
      </c>
      <c r="BC57" s="1" t="str">
        <f>$B$56</f>
        <v>Cap Rate 2</v>
      </c>
    </row>
    <row r="58" spans="1:55">
      <c r="E58" t="s">
        <v>319</v>
      </c>
      <c r="G58" t="str">
        <f>price_label</f>
        <v>£m 23/24 prices</v>
      </c>
      <c r="AU58" s="96">
        <f>AU49*AU37</f>
        <v>294.25642797352754</v>
      </c>
      <c r="AV58" s="61">
        <f>AV49*AV37</f>
        <v>477.79872238546295</v>
      </c>
      <c r="AW58" s="61">
        <f>AW49*AW37</f>
        <v>493.99515175476466</v>
      </c>
      <c r="AX58" s="61">
        <f>AX49*AX37</f>
        <v>268.60483278736154</v>
      </c>
      <c r="AY58" s="61">
        <f>AY49*AY37</f>
        <v>180.39473593257347</v>
      </c>
      <c r="BA58" s="44" t="str">
        <f t="shared" ca="1" si="6"/>
        <v>TIM</v>
      </c>
      <c r="BB58" s="1" t="str">
        <f t="shared" si="8"/>
        <v>Capitalisation split</v>
      </c>
      <c r="BC58" s="1" t="str">
        <f>$B$56</f>
        <v>Cap Rate 2</v>
      </c>
    </row>
    <row r="59" spans="1:55">
      <c r="BA59" s="44"/>
    </row>
    <row r="60" spans="1:55" ht="20" thickBot="1">
      <c r="A60" s="15" t="s">
        <v>147</v>
      </c>
      <c r="BA60" s="44"/>
    </row>
    <row r="61" spans="1:55" ht="16.5" thickTop="1">
      <c r="E61" t="s">
        <v>315</v>
      </c>
      <c r="G61" t="str">
        <f>price_label</f>
        <v>£m 23/24 prices</v>
      </c>
      <c r="AU61" s="96">
        <f>SUM(AU53,AU57)</f>
        <v>250.32697937412337</v>
      </c>
      <c r="AV61" s="61">
        <f t="shared" ref="AV61:AY61" si="9">SUM(AV53,AV57)</f>
        <v>272.46034165671307</v>
      </c>
      <c r="AW61" s="61">
        <f t="shared" si="9"/>
        <v>284.2025441080558</v>
      </c>
      <c r="AX61" s="61">
        <f t="shared" si="9"/>
        <v>241.08376824907589</v>
      </c>
      <c r="AY61" s="61">
        <f t="shared" si="9"/>
        <v>247.68397602385511</v>
      </c>
      <c r="AZ61" s="1"/>
      <c r="BA61" s="44" t="str">
        <f t="shared" ca="1" si="6"/>
        <v>TIM</v>
      </c>
      <c r="BB61" s="1" t="str">
        <f>$A$60</f>
        <v>Totex</v>
      </c>
    </row>
    <row r="62" spans="1:55">
      <c r="E62" t="s">
        <v>158</v>
      </c>
      <c r="G62" t="str">
        <f>price_label</f>
        <v>£m 23/24 prices</v>
      </c>
      <c r="AU62" s="96">
        <f t="shared" ref="AU62:AY62" si="10">SUM(AU54,AU58)</f>
        <v>607.43392606897851</v>
      </c>
      <c r="AV62" s="61">
        <f t="shared" si="10"/>
        <v>793.4797977214314</v>
      </c>
      <c r="AW62" s="61">
        <f t="shared" si="10"/>
        <v>823.9838698248094</v>
      </c>
      <c r="AX62" s="61">
        <f t="shared" si="10"/>
        <v>572.58259919875718</v>
      </c>
      <c r="AY62" s="61">
        <f t="shared" si="10"/>
        <v>507.97441573920003</v>
      </c>
      <c r="AZ62" s="1"/>
      <c r="BA62" s="44" t="str">
        <f t="shared" ca="1" si="6"/>
        <v>TIM</v>
      </c>
      <c r="BB62" s="1" t="str">
        <f>$A$60</f>
        <v>Totex</v>
      </c>
    </row>
    <row r="63" spans="1:55"/>
    <row r="64" spans="1:55" ht="20" thickBot="1">
      <c r="A64" s="15" t="s">
        <v>241</v>
      </c>
    </row>
    <row r="65" ht="16.5" thickTop="1"/>
    <row r="66"/>
  </sheetData>
  <phoneticPr fontId="8" type="noConversion"/>
  <conditionalFormatting sqref="H1">
    <cfRule type="cellIs" dxfId="14" priority="1" operator="equal">
      <formula>"ERROR"</formula>
    </cfRule>
  </conditionalFormatting>
  <pageMargins left="0.7" right="0.7" top="0.75" bottom="0.75" header="0.3" footer="0.3"/>
  <pageSetup paperSize="9" orientation="portrait" r:id="rId1"/>
  <headerFooter>
    <oddFooter>&amp;L_x000D_&amp;1#&amp;"Aptos"&amp;10&amp;K000000 National Gas | Business Use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3C3F3B-4B68-4868-9793-86B4598B4AE1}">
  <sheetPr codeName="Sheet16">
    <tabColor rgb="FFBAA0CC"/>
    <pageSetUpPr autoPageBreaks="0"/>
  </sheetPr>
  <dimension ref="A1:BF137"/>
  <sheetViews>
    <sheetView workbookViewId="0">
      <pane xSplit="10" ySplit="4" topLeftCell="K5" activePane="bottomRight" state="frozen"/>
      <selection pane="topRight" activeCell="K1" sqref="K1"/>
      <selection pane="bottomLeft" activeCell="A5" sqref="A5"/>
      <selection pane="bottomRight"/>
    </sheetView>
  </sheetViews>
  <sheetFormatPr defaultColWidth="0" defaultRowHeight="14.5" zeroHeight="1" outlineLevelRow="1" outlineLevelCol="1"/>
  <cols>
    <col min="1" max="3" width="1.81640625" customWidth="1"/>
    <col min="4" max="4" width="15.7265625" customWidth="1"/>
    <col min="5" max="5" width="77.26953125" customWidth="1"/>
    <col min="6" max="6" width="8.7265625" customWidth="1"/>
    <col min="7" max="7" width="17.7265625" customWidth="1"/>
    <col min="8" max="8" width="9.7265625" customWidth="1"/>
    <col min="9" max="9" width="11.7265625" customWidth="1"/>
    <col min="10" max="10" width="2.08984375" customWidth="1"/>
    <col min="11" max="45" width="11.7265625" hidden="1" customWidth="1" outlineLevel="1"/>
    <col min="46" max="46" width="11.7265625" style="77" hidden="1" customWidth="1" outlineLevel="1"/>
    <col min="47" max="47" width="11.7265625" customWidth="1" collapsed="1"/>
    <col min="48" max="52" width="11.7265625" customWidth="1"/>
    <col min="53" max="56" width="10.7265625" style="1" customWidth="1"/>
    <col min="57" max="57" width="10.7265625" customWidth="1"/>
    <col min="58" max="58" width="1.7265625" customWidth="1"/>
    <col min="59" max="16384" width="9.08984375" hidden="1"/>
  </cols>
  <sheetData>
    <row r="1" spans="1:58" s="119" customFormat="1">
      <c r="A1" s="118" t="str" cm="1">
        <f t="array" aca="1" ref="A1" ca="1">MID(CELL("filename",$A$1),FIND("]",CELL("filename",$A$1))+1,255)</f>
        <v>Depreciation</v>
      </c>
      <c r="G1" s="119" t="s">
        <v>515</v>
      </c>
      <c r="H1" s="38" t="str">
        <f ca="1">Checks!I7</f>
        <v>ERROR</v>
      </c>
      <c r="AT1" s="124"/>
      <c r="BA1" s="121"/>
      <c r="BB1" s="121"/>
      <c r="BC1" s="121"/>
      <c r="BD1" s="121"/>
    </row>
    <row r="2" spans="1:58" s="119" customFormat="1" ht="15" customHeight="1">
      <c r="AT2" s="124"/>
      <c r="BA2" s="121"/>
      <c r="BB2" s="121"/>
      <c r="BC2" s="121"/>
      <c r="BD2" s="121"/>
    </row>
    <row r="3" spans="1:58" s="119" customFormat="1" ht="15" customHeight="1">
      <c r="E3" s="119" t="s">
        <v>0</v>
      </c>
      <c r="F3" s="119" t="s">
        <v>1</v>
      </c>
      <c r="G3" s="119" t="s">
        <v>2</v>
      </c>
      <c r="H3" s="119" t="s">
        <v>3</v>
      </c>
      <c r="I3" s="119" t="str">
        <f>NGT_TO!I3</f>
        <v>Constant</v>
      </c>
      <c r="AT3" s="124"/>
      <c r="AU3" s="122" t="str">
        <f>NGT_TO!AU3</f>
        <v>Annual values</v>
      </c>
      <c r="BA3" s="121"/>
      <c r="BB3" s="121"/>
      <c r="BC3" s="121"/>
      <c r="BD3" s="121"/>
    </row>
    <row r="4" spans="1:58" s="119" customFormat="1" ht="15" customHeight="1">
      <c r="D4" s="121" t="s">
        <v>421</v>
      </c>
      <c r="E4" s="119" t="s">
        <v>6</v>
      </c>
      <c r="K4" s="122">
        <f>NGT_TO!K4</f>
        <v>33328</v>
      </c>
      <c r="L4" s="122">
        <f>NGT_TO!L4</f>
        <v>33694</v>
      </c>
      <c r="M4" s="122">
        <f>NGT_TO!M4</f>
        <v>34059</v>
      </c>
      <c r="N4" s="122">
        <f>NGT_TO!N4</f>
        <v>34424</v>
      </c>
      <c r="O4" s="122">
        <f>NGT_TO!O4</f>
        <v>34789</v>
      </c>
      <c r="P4" s="122">
        <f>NGT_TO!P4</f>
        <v>35155</v>
      </c>
      <c r="Q4" s="122">
        <f>NGT_TO!Q4</f>
        <v>35520</v>
      </c>
      <c r="R4" s="122">
        <f>NGT_TO!R4</f>
        <v>35885</v>
      </c>
      <c r="S4" s="122">
        <f>NGT_TO!S4</f>
        <v>36250</v>
      </c>
      <c r="T4" s="122">
        <f>NGT_TO!T4</f>
        <v>36616</v>
      </c>
      <c r="U4" s="122">
        <f>NGT_TO!U4</f>
        <v>36981</v>
      </c>
      <c r="V4" s="122">
        <f>NGT_TO!V4</f>
        <v>37346</v>
      </c>
      <c r="W4" s="122">
        <f>NGT_TO!W4</f>
        <v>37711</v>
      </c>
      <c r="X4" s="122">
        <f>NGT_TO!X4</f>
        <v>38077</v>
      </c>
      <c r="Y4" s="122">
        <f>NGT_TO!Y4</f>
        <v>38442</v>
      </c>
      <c r="Z4" s="122">
        <f>NGT_TO!Z4</f>
        <v>38807</v>
      </c>
      <c r="AA4" s="122">
        <f>NGT_TO!AA4</f>
        <v>39172</v>
      </c>
      <c r="AB4" s="122">
        <f>NGT_TO!AB4</f>
        <v>39538</v>
      </c>
      <c r="AC4" s="122">
        <f>NGT_TO!AC4</f>
        <v>39903</v>
      </c>
      <c r="AD4" s="122">
        <f>NGT_TO!AD4</f>
        <v>40268</v>
      </c>
      <c r="AE4" s="122">
        <f>NGT_TO!AE4</f>
        <v>40633</v>
      </c>
      <c r="AF4" s="122">
        <f>NGT_TO!AF4</f>
        <v>40999</v>
      </c>
      <c r="AG4" s="122">
        <f>NGT_TO!AG4</f>
        <v>41364</v>
      </c>
      <c r="AH4" s="122">
        <f>NGT_TO!AH4</f>
        <v>41729</v>
      </c>
      <c r="AI4" s="122">
        <f>NGT_TO!AI4</f>
        <v>42094</v>
      </c>
      <c r="AJ4" s="122">
        <f>NGT_TO!AJ4</f>
        <v>42460</v>
      </c>
      <c r="AK4" s="122">
        <f>NGT_TO!AK4</f>
        <v>42825</v>
      </c>
      <c r="AL4" s="122">
        <f>NGT_TO!AL4</f>
        <v>43190</v>
      </c>
      <c r="AM4" s="122">
        <f>NGT_TO!AM4</f>
        <v>43555</v>
      </c>
      <c r="AN4" s="122">
        <f>NGT_TO!AN4</f>
        <v>43921</v>
      </c>
      <c r="AO4" s="122">
        <f>NGT_TO!AO4</f>
        <v>44286</v>
      </c>
      <c r="AP4" s="122">
        <f>NGT_TO!AP4</f>
        <v>44651</v>
      </c>
      <c r="AQ4" s="122">
        <f>NGT_TO!AQ4</f>
        <v>45016</v>
      </c>
      <c r="AR4" s="122">
        <f>NGT_TO!AR4</f>
        <v>45382</v>
      </c>
      <c r="AS4" s="122">
        <f>NGT_TO!AS4</f>
        <v>45747</v>
      </c>
      <c r="AT4" s="123">
        <f>NGT_TO!AT4</f>
        <v>46112</v>
      </c>
      <c r="AU4" s="122">
        <f>NGT_TO!AU4</f>
        <v>46477</v>
      </c>
      <c r="AV4" s="122">
        <f>NGT_TO!AV4</f>
        <v>46843</v>
      </c>
      <c r="AW4" s="122">
        <f>NGT_TO!AW4</f>
        <v>47208</v>
      </c>
      <c r="AX4" s="122">
        <f>NGT_TO!AX4</f>
        <v>47573</v>
      </c>
      <c r="AY4" s="122">
        <f>NGT_TO!AY4</f>
        <v>47938</v>
      </c>
      <c r="BA4" s="127" t="s">
        <v>527</v>
      </c>
      <c r="BB4" s="127" t="s">
        <v>528</v>
      </c>
      <c r="BC4" s="127" t="s">
        <v>529</v>
      </c>
      <c r="BD4" s="127" t="s">
        <v>530</v>
      </c>
    </row>
    <row r="5" spans="1:58"/>
    <row r="6" spans="1:58" ht="20" thickBot="1">
      <c r="A6" s="15" t="s">
        <v>400</v>
      </c>
      <c r="BF6" s="8"/>
    </row>
    <row r="7" spans="1:58" ht="15" outlineLevel="1" thickTop="1">
      <c r="D7" s="1" t="str" cm="1">
        <f t="array" aca="1" ref="D7" ca="1">IFERROR(MID(_xlfn.FORMULATEXT(I7),FIND("=",_xlfn.FORMULATEXT(I7))+1,FIND("!",_xlfn.FORMULATEXT(I7))-2),MID(_xlfn.FORMULATEXT(INDEX(L7:AV7,MATCH(FALSE,ISBLANK(L7:AV7),0))),FIND("=",_xlfn.FORMULATEXT(INDEX(L7:AV7,MATCH(FALSE,ISBLANK(L7:AV7),0))))+1,FIND("!",_xlfn.FORMULATEXT(INDEX(L7:AV7,MATCH(FALSE,ISBLANK(L7:AV7),0))))-2))</f>
        <v>Transform_TO</v>
      </c>
      <c r="E7" t="s">
        <v>524</v>
      </c>
      <c r="G7" t="str">
        <f>Transform_TO!G209</f>
        <v>scalar</v>
      </c>
      <c r="J7" s="43"/>
      <c r="AU7" s="101">
        <f>Transform_TO!AU209</f>
        <v>1.0903812147866101</v>
      </c>
      <c r="AV7" s="71">
        <f>Transform_TO!AV209</f>
        <v>1.1038900921236532</v>
      </c>
      <c r="AW7" s="71">
        <f>Transform_TO!AW209</f>
        <v>1.117474709683749</v>
      </c>
      <c r="AX7" s="71">
        <f>Transform_TO!AX209</f>
        <v>1.1311303901017495</v>
      </c>
      <c r="AY7" s="71">
        <f>Transform_TO!AY209</f>
        <v>1.1451152758990213</v>
      </c>
    </row>
    <row r="8" spans="1:58" outlineLevel="1">
      <c r="D8" s="1" t="str" cm="1">
        <f t="array" aca="1" ref="D8" ca="1">IFERROR(MID(_xlfn.FORMULATEXT(I8),FIND("=",_xlfn.FORMULATEXT(I8))+1,FIND("!",_xlfn.FORMULATEXT(I8))-2),MID(_xlfn.FORMULATEXT(INDEX(L8:AV8,MATCH(FALSE,ISBLANK(L8:AV8),0))),FIND("=",_xlfn.FORMULATEXT(INDEX(L8:AV8,MATCH(FALSE,ISBLANK(L8:AV8),0))))+1,FIND("!",_xlfn.FORMULATEXT(INDEX(L8:AV8,MATCH(FALSE,ISBLANK(L8:AV8),0))))-2))</f>
        <v>TIM</v>
      </c>
      <c r="E8" t="s">
        <v>158</v>
      </c>
      <c r="G8" t="str">
        <f>TIM!G62</f>
        <v>£m 23/24 prices</v>
      </c>
      <c r="J8" s="43"/>
      <c r="AU8" s="95">
        <f>TIM!AU62</f>
        <v>607.43392606897851</v>
      </c>
      <c r="AV8" s="69">
        <f>TIM!AV62</f>
        <v>793.4797977214314</v>
      </c>
      <c r="AW8" s="69">
        <f>TIM!AW62</f>
        <v>823.9838698248094</v>
      </c>
      <c r="AX8" s="69">
        <f>TIM!AX62</f>
        <v>572.58259919875718</v>
      </c>
      <c r="AY8" s="69">
        <f>TIM!AY62</f>
        <v>507.97441573920003</v>
      </c>
    </row>
    <row r="9" spans="1:58" outlineLevel="1">
      <c r="D9" s="1" t="str" cm="1">
        <f t="array" aca="1" ref="D9" ca="1">IFERROR(MID(_xlfn.FORMULATEXT(I9),FIND("=",_xlfn.FORMULATEXT(I9))+1,FIND("!",_xlfn.FORMULATEXT(I9))-2),MID(_xlfn.FORMULATEXT(INDEX(L9:AV9,MATCH(FALSE,ISBLANK(L9:AV9),0))),FIND("=",_xlfn.FORMULATEXT(INDEX(L9:AV9,MATCH(FALSE,ISBLANK(L9:AV9),0))))+1,FIND("!",_xlfn.FORMULATEXT(INDEX(L9:AV9,MATCH(FALSE,ISBLANK(L9:AV9),0))))-2))</f>
        <v>Transform_TO</v>
      </c>
      <c r="E9" t="s">
        <v>78</v>
      </c>
      <c r="G9" t="str">
        <f>Transform_TO!G58</f>
        <v>£m 23/24 prices</v>
      </c>
      <c r="J9" s="43" t="s">
        <v>10</v>
      </c>
      <c r="X9" s="69">
        <f>Transform_TO!X58</f>
        <v>489.50727363148951</v>
      </c>
      <c r="Y9" s="69">
        <f>Transform_TO!Y58</f>
        <v>157.60976769562583</v>
      </c>
      <c r="Z9" s="69">
        <f>Transform_TO!Z58</f>
        <v>490.59417497458742</v>
      </c>
      <c r="AA9" s="69">
        <f>Transform_TO!AA58</f>
        <v>884.86120142045354</v>
      </c>
      <c r="AB9" s="69">
        <f>Transform_TO!AB58</f>
        <v>957.9204794502175</v>
      </c>
      <c r="AC9" s="69">
        <f>Transform_TO!AC58</f>
        <v>405.1758456583176</v>
      </c>
      <c r="AD9" s="69">
        <f>Transform_TO!AD58</f>
        <v>201.45679890575062</v>
      </c>
      <c r="AE9" s="69">
        <f>Transform_TO!AE58</f>
        <v>163.49980480015913</v>
      </c>
      <c r="AF9" s="69">
        <f>Transform_TO!AF58</f>
        <v>165.3576046586341</v>
      </c>
      <c r="AG9" s="69">
        <f>Transform_TO!AG58</f>
        <v>-47.034102572314929</v>
      </c>
    </row>
    <row r="10" spans="1:58" outlineLevel="1">
      <c r="D10" s="1" t="str" cm="1">
        <f t="array" aca="1" ref="D10" ca="1">IFERROR(MID(_xlfn.FORMULATEXT(I10),FIND("=",_xlfn.FORMULATEXT(I10))+1,FIND("!",_xlfn.FORMULATEXT(I10))-2),MID(_xlfn.FORMULATEXT(INDEX(L10:AV10,MATCH(FALSE,ISBLANK(L10:AV10),0))),FIND("=",_xlfn.FORMULATEXT(INDEX(L10:AV10,MATCH(FALSE,ISBLANK(L10:AV10),0))))+1,FIND("!",_xlfn.FORMULATEXT(INDEX(L10:AV10,MATCH(FALSE,ISBLANK(L10:AV10),0))))-2))</f>
        <v>Transform_TO</v>
      </c>
      <c r="E10" t="s">
        <v>805</v>
      </c>
      <c r="G10" t="str">
        <f>Transform_TO!G59</f>
        <v>£m 23/24 prices</v>
      </c>
      <c r="J10" s="43" t="s">
        <v>10</v>
      </c>
      <c r="X10" s="69">
        <f>Transform_TO!X59</f>
        <v>0</v>
      </c>
      <c r="Y10" s="69">
        <f>Transform_TO!Y59</f>
        <v>0</v>
      </c>
      <c r="Z10" s="69">
        <f>Transform_TO!Z59</f>
        <v>0</v>
      </c>
      <c r="AA10" s="69">
        <f>Transform_TO!AA59</f>
        <v>0</v>
      </c>
      <c r="AB10" s="69">
        <f>Transform_TO!AB59</f>
        <v>0</v>
      </c>
      <c r="AC10" s="69">
        <f>Transform_TO!AC59</f>
        <v>0</v>
      </c>
      <c r="AD10" s="69">
        <f>Transform_TO!AD59</f>
        <v>0</v>
      </c>
      <c r="AE10" s="69">
        <f>Transform_TO!AE59</f>
        <v>0</v>
      </c>
      <c r="AF10" s="69">
        <f>Transform_TO!AF59</f>
        <v>0</v>
      </c>
      <c r="AG10" s="69">
        <f>Transform_TO!AG59</f>
        <v>0</v>
      </c>
      <c r="AH10" s="69">
        <f>Transform_TO!AH59</f>
        <v>262.13061665762154</v>
      </c>
      <c r="AI10" s="69">
        <f>Transform_TO!AI59</f>
        <v>208.3748605321918</v>
      </c>
      <c r="AJ10" s="69">
        <f>Transform_TO!AJ59</f>
        <v>197.01125140359775</v>
      </c>
      <c r="AK10" s="69">
        <f>Transform_TO!AK59</f>
        <v>222.94979360206582</v>
      </c>
      <c r="AL10" s="69">
        <f>Transform_TO!AL59</f>
        <v>283.53902493160496</v>
      </c>
      <c r="AM10" s="69">
        <f>Transform_TO!AM59</f>
        <v>255.40883536878235</v>
      </c>
      <c r="AN10" s="69">
        <f>Transform_TO!AN59</f>
        <v>215.81535000502981</v>
      </c>
      <c r="AO10" s="69">
        <f>Transform_TO!AO59</f>
        <v>179.7363984175511</v>
      </c>
      <c r="AP10" s="69">
        <f>Transform_TO!AP59</f>
        <v>245.42931155302847</v>
      </c>
      <c r="AQ10" s="69">
        <f>Transform_TO!AQ59</f>
        <v>301.12844749196552</v>
      </c>
      <c r="AR10" s="69">
        <f>Transform_TO!AR59</f>
        <v>345.04101302096547</v>
      </c>
      <c r="AS10" s="69">
        <f>Transform_TO!AS59</f>
        <v>422.9336722196291</v>
      </c>
      <c r="AT10" s="104">
        <f>Transform_TO!AT59</f>
        <v>562.17788436111846</v>
      </c>
    </row>
    <row r="11" spans="1:58" outlineLevel="1">
      <c r="D11" s="1" t="str" cm="1">
        <f t="array" aca="1" ref="D11" ca="1">IFERROR(MID(_xlfn.FORMULATEXT(I11),FIND("=",_xlfn.FORMULATEXT(I11))+1,FIND("!",_xlfn.FORMULATEXT(I11))-2),MID(_xlfn.FORMULATEXT(INDEX(L11:AV11,MATCH(FALSE,ISBLANK(L11:AV11),0))),FIND("=",_xlfn.FORMULATEXT(INDEX(L11:AV11,MATCH(FALSE,ISBLANK(L11:AV11),0))))+1,FIND("!",_xlfn.FORMULATEXT(INDEX(L11:AV11,MATCH(FALSE,ISBLANK(L11:AV11),0))))-2))</f>
        <v>Transform_TO</v>
      </c>
      <c r="E11" t="s">
        <v>266</v>
      </c>
      <c r="G11" t="str">
        <f>Transform_TO!G54</f>
        <v>year ending</v>
      </c>
      <c r="I11" s="75">
        <f>Transform_TO!I54</f>
        <v>37711</v>
      </c>
    </row>
    <row r="12" spans="1:58" outlineLevel="1">
      <c r="D12" s="1" t="str" cm="1">
        <f t="array" aca="1" ref="D12" ca="1">IFERROR(MID(_xlfn.FORMULATEXT(I12),FIND("=",_xlfn.FORMULATEXT(I12))+1,FIND("!",_xlfn.FORMULATEXT(I12))-2),MID(_xlfn.FORMULATEXT(INDEX(L12:AV12,MATCH(FALSE,ISBLANK(L12:AV12),0))),FIND("=",_xlfn.FORMULATEXT(INDEX(L12:AV12,MATCH(FALSE,ISBLANK(L12:AV12),0))))+1,FIND("!",_xlfn.FORMULATEXT(INDEX(L12:AV12,MATCH(FALSE,ISBLANK(L12:AV12),0))))-2))</f>
        <v>Transform_TO</v>
      </c>
      <c r="E12" t="s">
        <v>267</v>
      </c>
      <c r="G12" t="str">
        <f>NGT_TO!G458</f>
        <v>year ending</v>
      </c>
      <c r="I12" s="75">
        <f>Transform_TO!I55</f>
        <v>44651</v>
      </c>
    </row>
    <row r="13" spans="1:58" outlineLevel="1">
      <c r="D13" s="1" t="str" cm="1">
        <f t="array" aca="1" ref="D13" ca="1">IFERROR(MID(_xlfn.FORMULATEXT(I13),FIND("=",_xlfn.FORMULATEXT(I13))+1,FIND("!",_xlfn.FORMULATEXT(I13))-2),MID(_xlfn.FORMULATEXT(INDEX(L13:AV13,MATCH(FALSE,ISBLANK(L13:AV13),0))),FIND("=",_xlfn.FORMULATEXT(INDEX(L13:AV13,MATCH(FALSE,ISBLANK(L13:AV13),0))))+1,FIND("!",_xlfn.FORMULATEXT(INDEX(L13:AV13,MATCH(FALSE,ISBLANK(L13:AV13),0))))-2))</f>
        <v>Transform_TO</v>
      </c>
      <c r="E13" t="s">
        <v>74</v>
      </c>
      <c r="G13" t="str">
        <f>Transform_TO!G48</f>
        <v>years</v>
      </c>
      <c r="I13" s="27">
        <f>Transform_TO!I48</f>
        <v>56</v>
      </c>
    </row>
    <row r="14" spans="1:58" outlineLevel="1">
      <c r="D14" s="1" t="str" cm="1">
        <f t="array" aca="1" ref="D14" ca="1">IFERROR(MID(_xlfn.FORMULATEXT(I14),FIND("=",_xlfn.FORMULATEXT(I14))+1,FIND("!",_xlfn.FORMULATEXT(I14))-2),MID(_xlfn.FORMULATEXT(INDEX(L14:AV14,MATCH(FALSE,ISBLANK(L14:AV14),0))),FIND("=",_xlfn.FORMULATEXT(INDEX(L14:AV14,MATCH(FALSE,ISBLANK(L14:AV14),0))))+1,FIND("!",_xlfn.FORMULATEXT(INDEX(L14:AV14,MATCH(FALSE,ISBLANK(L14:AV14),0))))-2))</f>
        <v>Transform_TO</v>
      </c>
      <c r="E14" t="s">
        <v>431</v>
      </c>
      <c r="G14" t="str">
        <f>Transform_TO!G49</f>
        <v>years</v>
      </c>
      <c r="J14" s="43" t="s">
        <v>10</v>
      </c>
      <c r="AH14" s="27">
        <f>Transform_TO!AH49</f>
        <v>45</v>
      </c>
      <c r="AI14" s="27">
        <f>Transform_TO!AI49</f>
        <v>44</v>
      </c>
      <c r="AJ14" s="27">
        <f>Transform_TO!AJ49</f>
        <v>43</v>
      </c>
      <c r="AK14" s="27">
        <f>Transform_TO!AK49</f>
        <v>42</v>
      </c>
      <c r="AL14" s="27">
        <f>Transform_TO!AL49</f>
        <v>41</v>
      </c>
      <c r="AM14" s="27">
        <f>Transform_TO!AM49</f>
        <v>40</v>
      </c>
      <c r="AN14" s="27">
        <f>Transform_TO!AN49</f>
        <v>39</v>
      </c>
      <c r="AO14" s="27">
        <f>Transform_TO!AO49</f>
        <v>38</v>
      </c>
      <c r="AP14" s="27">
        <f>Transform_TO!AP49</f>
        <v>37</v>
      </c>
      <c r="AQ14" s="27">
        <f>Transform_TO!AQ49</f>
        <v>36</v>
      </c>
      <c r="AR14" s="27">
        <f>Transform_TO!AR49</f>
        <v>35</v>
      </c>
      <c r="AS14" s="27">
        <f>Transform_TO!AS49</f>
        <v>34</v>
      </c>
      <c r="AT14" s="102">
        <f>Transform_TO!AT49</f>
        <v>33</v>
      </c>
      <c r="AU14" s="140">
        <f>Transform_TO!AU49</f>
        <v>32</v>
      </c>
      <c r="AV14" s="27">
        <f>Transform_TO!AV49</f>
        <v>31</v>
      </c>
      <c r="AW14" s="27">
        <f>Transform_TO!AW49</f>
        <v>30</v>
      </c>
      <c r="AX14" s="27">
        <f>Transform_TO!AX49</f>
        <v>29</v>
      </c>
      <c r="AY14" s="27">
        <f>Transform_TO!AY49</f>
        <v>28</v>
      </c>
    </row>
    <row r="15" spans="1:58" outlineLevel="1">
      <c r="D15" s="1" t="str" cm="1">
        <f t="array" aca="1" ref="D15" ca="1">IFERROR(MID(_xlfn.FORMULATEXT(I15),FIND("=",_xlfn.FORMULATEXT(I15))+1,FIND("!",_xlfn.FORMULATEXT(I15))-2),MID(_xlfn.FORMULATEXT(INDEX(L15:AV15,MATCH(FALSE,ISBLANK(L15:AV15),0))),FIND("=",_xlfn.FORMULATEXT(INDEX(L15:AV15,MATCH(FALSE,ISBLANK(L15:AV15),0))))+1,FIND("!",_xlfn.FORMULATEXT(INDEX(L15:AV15,MATCH(FALSE,ISBLANK(L15:AV15),0))))-2))</f>
        <v>Transform_TO</v>
      </c>
      <c r="E15" t="s">
        <v>357</v>
      </c>
      <c r="G15" t="str">
        <f>Transform_TO!G47</f>
        <v>£m 23/24 prices</v>
      </c>
      <c r="J15" s="43" t="s">
        <v>10</v>
      </c>
      <c r="AH15" s="69">
        <f>Transform_TO!AH47</f>
        <v>4365.6487819877821</v>
      </c>
    </row>
    <row r="16" spans="1:58" outlineLevel="1">
      <c r="D16" s="1" t="str" cm="1">
        <f t="array" aca="1" ref="D16" ca="1">IFERROR(MID(_xlfn.FORMULATEXT(I16),FIND("=",_xlfn.FORMULATEXT(I16))+1,FIND("!",_xlfn.FORMULATEXT(I16))-2),MID(_xlfn.FORMULATEXT(INDEX(L16:AV16,MATCH(FALSE,ISBLANK(L16:AV16),0))),FIND("=",_xlfn.FORMULATEXT(INDEX(L16:AV16,MATCH(FALSE,ISBLANK(L16:AV16),0))))+1,FIND("!",_xlfn.FORMULATEXT(INDEX(L16:AV16,MATCH(FALSE,ISBLANK(L16:AV16),0))))-2))</f>
        <v>Transform_TO</v>
      </c>
      <c r="E16" t="s">
        <v>265</v>
      </c>
      <c r="G16" t="str">
        <f>Transform_TO!G53</f>
        <v>years</v>
      </c>
      <c r="I16" s="27">
        <f>Transform_TO!I53</f>
        <v>45</v>
      </c>
    </row>
    <row r="17" spans="1:55" outlineLevel="1">
      <c r="D17" s="1" t="str" cm="1">
        <f t="array" aca="1" ref="D17" ca="1">IFERROR(MID(_xlfn.FORMULATEXT(I17),FIND("=",_xlfn.FORMULATEXT(I17))+1,FIND("!",_xlfn.FORMULATEXT(I17))-2),MID(_xlfn.FORMULATEXT(INDEX(L17:AV17,MATCH(FALSE,ISBLANK(L17:AV17),0))),FIND("=",_xlfn.FORMULATEXT(INDEX(L17:AV17,MATCH(FALSE,ISBLANK(L17:AV17),0))))+1,FIND("!",_xlfn.FORMULATEXT(INDEX(L17:AV17,MATCH(FALSE,ISBLANK(L17:AV17),0))))-2))</f>
        <v>Transform_TO</v>
      </c>
      <c r="E17" t="s">
        <v>623</v>
      </c>
      <c r="G17" t="str">
        <f>Transform_TO!G52</f>
        <v>years</v>
      </c>
      <c r="J17" s="43" t="s">
        <v>10</v>
      </c>
      <c r="X17" s="69">
        <f>Transform_TO!X52</f>
        <v>45</v>
      </c>
      <c r="Y17" s="69">
        <f>Transform_TO!Y52</f>
        <v>45</v>
      </c>
      <c r="Z17" s="69">
        <f>Transform_TO!Z52</f>
        <v>45</v>
      </c>
      <c r="AA17" s="69">
        <f>Transform_TO!AA52</f>
        <v>45</v>
      </c>
      <c r="AB17" s="69">
        <f>Transform_TO!AB52</f>
        <v>45</v>
      </c>
      <c r="AC17" s="69">
        <f>Transform_TO!AC52</f>
        <v>45</v>
      </c>
      <c r="AD17" s="69">
        <f>Transform_TO!AD52</f>
        <v>45</v>
      </c>
      <c r="AE17" s="69">
        <f>Transform_TO!AE52</f>
        <v>45</v>
      </c>
      <c r="AF17" s="69">
        <f>Transform_TO!AF52</f>
        <v>45</v>
      </c>
      <c r="AG17" s="69">
        <f>Transform_TO!AG52</f>
        <v>45</v>
      </c>
      <c r="AH17" s="69">
        <f>Transform_TO!AH52</f>
        <v>45</v>
      </c>
      <c r="AI17" s="69">
        <f>Transform_TO!AI52</f>
        <v>45</v>
      </c>
      <c r="AJ17" s="69">
        <f>Transform_TO!AJ52</f>
        <v>45</v>
      </c>
      <c r="AK17" s="69">
        <f>Transform_TO!AK52</f>
        <v>45</v>
      </c>
      <c r="AL17" s="69">
        <f>Transform_TO!AL52</f>
        <v>45</v>
      </c>
      <c r="AM17" s="69">
        <f>Transform_TO!AM52</f>
        <v>45</v>
      </c>
      <c r="AN17" s="69">
        <f>Transform_TO!AN52</f>
        <v>45</v>
      </c>
      <c r="AO17" s="69">
        <f>Transform_TO!AO52</f>
        <v>45</v>
      </c>
      <c r="AP17" s="69">
        <f>Transform_TO!AP52</f>
        <v>45</v>
      </c>
      <c r="AQ17" s="69">
        <f>Transform_TO!AQ52</f>
        <v>45</v>
      </c>
      <c r="AR17" s="69">
        <f>Transform_TO!AR52</f>
        <v>45</v>
      </c>
      <c r="AS17" s="69">
        <f>Transform_TO!AS52</f>
        <v>45</v>
      </c>
      <c r="AT17" s="104">
        <f>Transform_TO!AT52</f>
        <v>45</v>
      </c>
      <c r="AU17" s="95">
        <f>Transform_TO!AU52</f>
        <v>45</v>
      </c>
      <c r="AV17" s="69">
        <f>Transform_TO!AV52</f>
        <v>45</v>
      </c>
      <c r="AW17" s="69">
        <f>Transform_TO!AW52</f>
        <v>45</v>
      </c>
      <c r="AX17" s="69">
        <f>Transform_TO!AX52</f>
        <v>45</v>
      </c>
      <c r="AY17" s="69">
        <f>Transform_TO!AY52</f>
        <v>45</v>
      </c>
    </row>
    <row r="18" spans="1:55" outlineLevel="1">
      <c r="D18" s="1" t="str" cm="1">
        <f t="array" aca="1" ref="D18" ca="1">IFERROR(MID(_xlfn.FORMULATEXT(I18),FIND("=",_xlfn.FORMULATEXT(I18))+1,FIND("!",_xlfn.FORMULATEXT(I18))-2),MID(_xlfn.FORMULATEXT(INDEX(L18:AV18,MATCH(FALSE,ISBLANK(L18:AV18),0))),FIND("=",_xlfn.FORMULATEXT(INDEX(L18:AV18,MATCH(FALSE,ISBLANK(L18:AV18),0))))+1,FIND("!",_xlfn.FORMULATEXT(INDEX(L18:AV18,MATCH(FALSE,ISBLANK(L18:AV18),0))))-2))</f>
        <v>Transform_TO</v>
      </c>
      <c r="E18" t="s">
        <v>268</v>
      </c>
      <c r="G18" t="str">
        <f>Transform_TO!G56</f>
        <v>years</v>
      </c>
      <c r="I18" s="27">
        <f>Transform_TO!I56</f>
        <v>20</v>
      </c>
    </row>
    <row r="19" spans="1:55"/>
    <row r="20" spans="1:55" ht="20" thickBot="1">
      <c r="A20" s="15" t="s">
        <v>497</v>
      </c>
    </row>
    <row r="21" spans="1:55" ht="15" thickTop="1">
      <c r="E21" t="s">
        <v>558</v>
      </c>
      <c r="G21" t="str">
        <f>price_label</f>
        <v>£m 23/24 prices</v>
      </c>
      <c r="AU21" s="96">
        <f>(AU8*PCf)/AU7</f>
        <v>610.32696289633566</v>
      </c>
      <c r="AV21" s="61">
        <f>(AV8*PCf)/AV7</f>
        <v>804.32395022820799</v>
      </c>
      <c r="AW21" s="61">
        <f>(AW8*PCf)/AW7</f>
        <v>842.59757472298156</v>
      </c>
      <c r="AX21" s="61">
        <f>(AX8*PCf)/AX7</f>
        <v>590.63589986764418</v>
      </c>
      <c r="AY21" s="61">
        <f>(AY8*PCf)/AY7</f>
        <v>528.62463037200234</v>
      </c>
      <c r="BA21" s="116" t="str">
        <f ca="1">$A$1</f>
        <v>Depreciation</v>
      </c>
      <c r="BB21" s="1" t="str">
        <f>$A$20</f>
        <v>Inputs calculations</v>
      </c>
    </row>
    <row r="22" spans="1:55">
      <c r="E22" t="s">
        <v>425</v>
      </c>
      <c r="G22" t="str">
        <f>price_label</f>
        <v>£m 23/24 prices</v>
      </c>
      <c r="J22" s="43" t="s">
        <v>10</v>
      </c>
      <c r="X22" s="61">
        <f t="shared" ref="X22:AY22" si="0">SUM(X21,X9,X10)</f>
        <v>489.50727363148951</v>
      </c>
      <c r="Y22" s="61">
        <f t="shared" si="0"/>
        <v>157.60976769562583</v>
      </c>
      <c r="Z22" s="61">
        <f t="shared" si="0"/>
        <v>490.59417497458742</v>
      </c>
      <c r="AA22" s="61">
        <f t="shared" si="0"/>
        <v>884.86120142045354</v>
      </c>
      <c r="AB22" s="61">
        <f t="shared" si="0"/>
        <v>957.9204794502175</v>
      </c>
      <c r="AC22" s="61">
        <f t="shared" si="0"/>
        <v>405.1758456583176</v>
      </c>
      <c r="AD22" s="61">
        <f t="shared" si="0"/>
        <v>201.45679890575062</v>
      </c>
      <c r="AE22" s="61">
        <f t="shared" si="0"/>
        <v>163.49980480015913</v>
      </c>
      <c r="AF22" s="61">
        <f t="shared" si="0"/>
        <v>165.3576046586341</v>
      </c>
      <c r="AG22" s="61">
        <f t="shared" si="0"/>
        <v>-47.034102572314929</v>
      </c>
      <c r="AH22" s="61">
        <f t="shared" si="0"/>
        <v>262.13061665762154</v>
      </c>
      <c r="AI22" s="61">
        <f t="shared" si="0"/>
        <v>208.3748605321918</v>
      </c>
      <c r="AJ22" s="61">
        <f t="shared" si="0"/>
        <v>197.01125140359775</v>
      </c>
      <c r="AK22" s="61">
        <f t="shared" si="0"/>
        <v>222.94979360206582</v>
      </c>
      <c r="AL22" s="61">
        <f t="shared" si="0"/>
        <v>283.53902493160496</v>
      </c>
      <c r="AM22" s="61">
        <f t="shared" si="0"/>
        <v>255.40883536878235</v>
      </c>
      <c r="AN22" s="61">
        <f t="shared" si="0"/>
        <v>215.81535000502981</v>
      </c>
      <c r="AO22" s="61">
        <f t="shared" si="0"/>
        <v>179.7363984175511</v>
      </c>
      <c r="AP22" s="61">
        <f t="shared" si="0"/>
        <v>245.42931155302847</v>
      </c>
      <c r="AQ22" s="61">
        <f t="shared" si="0"/>
        <v>301.12844749196552</v>
      </c>
      <c r="AR22" s="61">
        <f t="shared" si="0"/>
        <v>345.04101302096547</v>
      </c>
      <c r="AS22" s="61">
        <f t="shared" si="0"/>
        <v>422.9336722196291</v>
      </c>
      <c r="AT22" s="89">
        <f t="shared" si="0"/>
        <v>562.17788436111846</v>
      </c>
      <c r="AU22" s="96">
        <f t="shared" si="0"/>
        <v>610.32696289633566</v>
      </c>
      <c r="AV22" s="61">
        <f t="shared" si="0"/>
        <v>804.32395022820799</v>
      </c>
      <c r="AW22" s="61">
        <f t="shared" si="0"/>
        <v>842.59757472298156</v>
      </c>
      <c r="AX22" s="61">
        <f t="shared" si="0"/>
        <v>590.63589986764418</v>
      </c>
      <c r="AY22" s="61">
        <f t="shared" si="0"/>
        <v>528.62463037200234</v>
      </c>
      <c r="BA22" s="116" t="str">
        <f ca="1">$A$1</f>
        <v>Depreciation</v>
      </c>
      <c r="BB22" s="1" t="str">
        <f>$A$20</f>
        <v>Inputs calculations</v>
      </c>
    </row>
    <row r="23" spans="1:55"/>
    <row r="24" spans="1:55">
      <c r="E24" t="s">
        <v>427</v>
      </c>
      <c r="G24" t="s">
        <v>106</v>
      </c>
      <c r="J24" s="43" t="s">
        <v>10</v>
      </c>
      <c r="X24" s="52">
        <f t="shared" ref="X24:AY24" si="1">AND(X$4&gt;=$I$11,YEAR(X$4)&lt;YEAR($I$12))*1</f>
        <v>1</v>
      </c>
      <c r="Y24" s="52">
        <f t="shared" si="1"/>
        <v>1</v>
      </c>
      <c r="Z24" s="52">
        <f t="shared" si="1"/>
        <v>1</v>
      </c>
      <c r="AA24" s="52">
        <f t="shared" si="1"/>
        <v>1</v>
      </c>
      <c r="AB24" s="52">
        <f t="shared" si="1"/>
        <v>1</v>
      </c>
      <c r="AC24" s="52">
        <f t="shared" si="1"/>
        <v>1</v>
      </c>
      <c r="AD24" s="52">
        <f t="shared" si="1"/>
        <v>1</v>
      </c>
      <c r="AE24" s="52">
        <f t="shared" si="1"/>
        <v>1</v>
      </c>
      <c r="AF24" s="52">
        <f t="shared" si="1"/>
        <v>1</v>
      </c>
      <c r="AG24" s="52">
        <f t="shared" si="1"/>
        <v>1</v>
      </c>
      <c r="AH24" s="52">
        <f t="shared" si="1"/>
        <v>1</v>
      </c>
      <c r="AI24" s="52">
        <f t="shared" si="1"/>
        <v>1</v>
      </c>
      <c r="AJ24" s="52">
        <f t="shared" si="1"/>
        <v>1</v>
      </c>
      <c r="AK24" s="52">
        <f t="shared" si="1"/>
        <v>1</v>
      </c>
      <c r="AL24" s="52">
        <f t="shared" si="1"/>
        <v>1</v>
      </c>
      <c r="AM24" s="52">
        <f t="shared" si="1"/>
        <v>1</v>
      </c>
      <c r="AN24" s="52">
        <f t="shared" si="1"/>
        <v>1</v>
      </c>
      <c r="AO24" s="52">
        <f t="shared" si="1"/>
        <v>1</v>
      </c>
      <c r="AP24" s="52">
        <f t="shared" si="1"/>
        <v>0</v>
      </c>
      <c r="AQ24" s="52">
        <f t="shared" si="1"/>
        <v>0</v>
      </c>
      <c r="AR24" s="52">
        <f t="shared" si="1"/>
        <v>0</v>
      </c>
      <c r="AS24" s="52">
        <f t="shared" si="1"/>
        <v>0</v>
      </c>
      <c r="AT24" s="191">
        <f t="shared" si="1"/>
        <v>0</v>
      </c>
      <c r="AU24" s="172">
        <f t="shared" si="1"/>
        <v>0</v>
      </c>
      <c r="AV24" s="52">
        <f t="shared" si="1"/>
        <v>0</v>
      </c>
      <c r="AW24" s="52">
        <f t="shared" si="1"/>
        <v>0</v>
      </c>
      <c r="AX24" s="52">
        <f t="shared" si="1"/>
        <v>0</v>
      </c>
      <c r="AY24" s="52">
        <f t="shared" si="1"/>
        <v>0</v>
      </c>
      <c r="BA24" s="116" t="str">
        <f ca="1">$A$1</f>
        <v>Depreciation</v>
      </c>
      <c r="BB24" s="1" t="str">
        <f>$A$20</f>
        <v>Inputs calculations</v>
      </c>
    </row>
    <row r="25" spans="1:55"/>
    <row r="26" spans="1:55" s="1" customFormat="1" ht="20" thickBot="1">
      <c r="A26" s="15" t="s">
        <v>155</v>
      </c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 s="77"/>
      <c r="AU26"/>
      <c r="AV26"/>
      <c r="AW26"/>
      <c r="AX26"/>
      <c r="AY26"/>
      <c r="AZ26"/>
    </row>
    <row r="27" spans="1:55" s="1" customFormat="1" ht="18" thickTop="1" thickBot="1">
      <c r="A27"/>
      <c r="B27" s="17" t="s">
        <v>151</v>
      </c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 s="77"/>
      <c r="AU27"/>
      <c r="AV27"/>
      <c r="AW27"/>
      <c r="AX27"/>
      <c r="AY27"/>
      <c r="AZ27"/>
    </row>
    <row r="28" spans="1:55" ht="15" thickTop="1">
      <c r="E28" t="s">
        <v>432</v>
      </c>
      <c r="G28" t="s">
        <v>525</v>
      </c>
      <c r="I28" s="52">
        <f>I13*(1+I13)/2</f>
        <v>1596</v>
      </c>
      <c r="BA28" s="116" t="str">
        <f ca="1">$A$1</f>
        <v>Depreciation</v>
      </c>
      <c r="BB28" s="1" t="str">
        <f>$A$26</f>
        <v>Pre-vesting balance</v>
      </c>
      <c r="BC28" s="1" t="str">
        <f>$B$27</f>
        <v>Cost</v>
      </c>
    </row>
    <row r="29" spans="1:55">
      <c r="E29" t="s">
        <v>433</v>
      </c>
      <c r="G29" t="s">
        <v>33</v>
      </c>
      <c r="J29" s="43" t="s">
        <v>10</v>
      </c>
      <c r="AH29" s="62">
        <f t="shared" ref="AH29:AY29" si="2">AH14/$I$28</f>
        <v>2.819548872180451E-2</v>
      </c>
      <c r="AI29" s="62">
        <f t="shared" si="2"/>
        <v>2.7568922305764409E-2</v>
      </c>
      <c r="AJ29" s="62">
        <f t="shared" si="2"/>
        <v>2.6942355889724309E-2</v>
      </c>
      <c r="AK29" s="62">
        <f t="shared" si="2"/>
        <v>2.6315789473684209E-2</v>
      </c>
      <c r="AL29" s="62">
        <f t="shared" si="2"/>
        <v>2.5689223057644109E-2</v>
      </c>
      <c r="AM29" s="62">
        <f t="shared" si="2"/>
        <v>2.5062656641604009E-2</v>
      </c>
      <c r="AN29" s="62">
        <f t="shared" si="2"/>
        <v>2.4436090225563908E-2</v>
      </c>
      <c r="AO29" s="62">
        <f t="shared" si="2"/>
        <v>2.3809523809523808E-2</v>
      </c>
      <c r="AP29" s="62">
        <f t="shared" si="2"/>
        <v>2.3182957393483708E-2</v>
      </c>
      <c r="AQ29" s="62">
        <f t="shared" si="2"/>
        <v>2.2556390977443608E-2</v>
      </c>
      <c r="AR29" s="62">
        <f t="shared" si="2"/>
        <v>2.1929824561403508E-2</v>
      </c>
      <c r="AS29" s="62">
        <f t="shared" si="2"/>
        <v>2.1303258145363407E-2</v>
      </c>
      <c r="AT29" s="90">
        <f t="shared" si="2"/>
        <v>2.0676691729323307E-2</v>
      </c>
      <c r="AU29" s="144">
        <f t="shared" si="2"/>
        <v>2.0050125313283207E-2</v>
      </c>
      <c r="AV29" s="62">
        <f t="shared" si="2"/>
        <v>1.9423558897243107E-2</v>
      </c>
      <c r="AW29" s="62">
        <f t="shared" si="2"/>
        <v>1.8796992481203006E-2</v>
      </c>
      <c r="AX29" s="62">
        <f t="shared" si="2"/>
        <v>1.8170426065162906E-2</v>
      </c>
      <c r="AY29" s="62">
        <f t="shared" si="2"/>
        <v>1.7543859649122806E-2</v>
      </c>
      <c r="BA29" s="116" t="str">
        <f ca="1">$A$1</f>
        <v>Depreciation</v>
      </c>
      <c r="BB29" s="1" t="str">
        <f>$A$26</f>
        <v>Pre-vesting balance</v>
      </c>
      <c r="BC29" s="1" t="str">
        <f>$B$27</f>
        <v>Cost</v>
      </c>
    </row>
    <row r="30" spans="1:55"/>
    <row r="31" spans="1:55" s="1" customFormat="1">
      <c r="A31"/>
      <c r="B31"/>
      <c r="C31"/>
      <c r="D31"/>
      <c r="E31" t="s">
        <v>674</v>
      </c>
      <c r="F31"/>
      <c r="G31" t="str">
        <f>price_label</f>
        <v>£m 23/24 prices</v>
      </c>
      <c r="H31"/>
      <c r="I31"/>
      <c r="J31" t="s">
        <v>10</v>
      </c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 s="61">
        <f t="shared" ref="AH31:AY31" si="3">$AH$15*AH29</f>
        <v>123.0916009958961</v>
      </c>
      <c r="AI31" s="61">
        <f t="shared" si="3"/>
        <v>120.3562320848762</v>
      </c>
      <c r="AJ31" s="61">
        <f t="shared" si="3"/>
        <v>117.62086317385628</v>
      </c>
      <c r="AK31" s="61">
        <f t="shared" si="3"/>
        <v>114.88549426283636</v>
      </c>
      <c r="AL31" s="61">
        <f t="shared" si="3"/>
        <v>112.15012535181646</v>
      </c>
      <c r="AM31" s="61">
        <f t="shared" si="3"/>
        <v>109.41475644079654</v>
      </c>
      <c r="AN31" s="61">
        <f t="shared" si="3"/>
        <v>106.67938752977662</v>
      </c>
      <c r="AO31" s="61">
        <f t="shared" si="3"/>
        <v>103.94401861875672</v>
      </c>
      <c r="AP31" s="61">
        <f t="shared" si="3"/>
        <v>101.2086497077368</v>
      </c>
      <c r="AQ31" s="61">
        <f t="shared" si="3"/>
        <v>98.473280796716878</v>
      </c>
      <c r="AR31" s="61">
        <f t="shared" si="3"/>
        <v>95.737911885696974</v>
      </c>
      <c r="AS31" s="61">
        <f t="shared" si="3"/>
        <v>93.002542974677056</v>
      </c>
      <c r="AT31" s="89">
        <f t="shared" si="3"/>
        <v>90.267174063657137</v>
      </c>
      <c r="AU31" s="96">
        <f t="shared" si="3"/>
        <v>87.531805152637233</v>
      </c>
      <c r="AV31" s="61">
        <f t="shared" si="3"/>
        <v>84.796436241617315</v>
      </c>
      <c r="AW31" s="61">
        <f t="shared" si="3"/>
        <v>82.061067330597396</v>
      </c>
      <c r="AX31" s="61">
        <f t="shared" si="3"/>
        <v>79.325698419577492</v>
      </c>
      <c r="AY31" s="61">
        <f t="shared" si="3"/>
        <v>76.590329508557573</v>
      </c>
      <c r="AZ31"/>
      <c r="BA31" s="116" t="str">
        <f ca="1">$A$1</f>
        <v>Depreciation</v>
      </c>
      <c r="BB31" s="1" t="str">
        <f>$A$26</f>
        <v>Pre-vesting balance</v>
      </c>
      <c r="BC31" s="1" t="str">
        <f>$B$27</f>
        <v>Cost</v>
      </c>
    </row>
    <row r="32" spans="1:55" s="1" customFormat="1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 s="77"/>
      <c r="AU32"/>
      <c r="AV32"/>
      <c r="AW32"/>
      <c r="AX32"/>
      <c r="AY32"/>
      <c r="AZ32"/>
      <c r="BA32" s="44"/>
    </row>
    <row r="33" spans="1:54" ht="20" thickBot="1">
      <c r="A33" s="15" t="s">
        <v>424</v>
      </c>
      <c r="AY33" s="107"/>
    </row>
    <row r="34" spans="1:54" ht="15" thickTop="1">
      <c r="E34" t="s">
        <v>432</v>
      </c>
      <c r="G34" t="s">
        <v>525</v>
      </c>
      <c r="I34" s="52">
        <f>I16*(1+I16)/2</f>
        <v>1035</v>
      </c>
      <c r="Y34" s="108"/>
      <c r="BA34" s="116" t="str">
        <f ca="1">$A$1</f>
        <v>Depreciation</v>
      </c>
      <c r="BB34" s="1" t="str">
        <f>$A$33</f>
        <v>Post-vesting sum of digits</v>
      </c>
    </row>
    <row r="35" spans="1:54"/>
    <row r="36" spans="1:54">
      <c r="E36" s="68">
        <v>38077</v>
      </c>
      <c r="G36" s="68" t="str">
        <f t="shared" ref="G36:G63" si="4">price_label</f>
        <v>£m 23/24 prices</v>
      </c>
      <c r="I36" s="38" cm="1">
        <f t="array" ref="I36:I63">TRANSPOSE(X22:AY22)</f>
        <v>489.50727363148951</v>
      </c>
      <c r="J36" s="43" t="s">
        <v>10</v>
      </c>
      <c r="Y36" s="61">
        <f t="shared" ref="Y36:AH45" si="5">IF(AND(Y$4&gt;$E36,YEAR(Y$4)&lt;(YEAR($E36)+$I$16+1)),($I36*($I$16-YEAR(Y$4)+YEAR($E36)+1)/$I$34),0)</f>
        <v>21.282924940499544</v>
      </c>
      <c r="Z36" s="61">
        <f t="shared" si="5"/>
        <v>20.809971052932887</v>
      </c>
      <c r="AA36" s="61">
        <f t="shared" si="5"/>
        <v>20.33701716536623</v>
      </c>
      <c r="AB36" s="61">
        <f t="shared" si="5"/>
        <v>19.864063277799573</v>
      </c>
      <c r="AC36" s="61">
        <f t="shared" si="5"/>
        <v>19.391109390232916</v>
      </c>
      <c r="AD36" s="61">
        <f t="shared" si="5"/>
        <v>18.918155502666263</v>
      </c>
      <c r="AE36" s="61">
        <f t="shared" si="5"/>
        <v>18.445201615099606</v>
      </c>
      <c r="AF36" s="61">
        <f t="shared" si="5"/>
        <v>17.972247727532949</v>
      </c>
      <c r="AG36" s="61">
        <f t="shared" si="5"/>
        <v>17.499293839966292</v>
      </c>
      <c r="AH36" s="61">
        <f t="shared" si="5"/>
        <v>17.026339952399635</v>
      </c>
      <c r="AI36" s="61">
        <f t="shared" ref="AI36:AR45" si="6">IF(AND(AI$4&gt;$E36,YEAR(AI$4)&lt;(YEAR($E36)+$I$16+1)),($I36*($I$16-YEAR(AI$4)+YEAR($E36)+1)/$I$34),0)</f>
        <v>16.553386064832978</v>
      </c>
      <c r="AJ36" s="61">
        <f t="shared" si="6"/>
        <v>16.080432177266321</v>
      </c>
      <c r="AK36" s="61">
        <f t="shared" si="6"/>
        <v>15.607478289699666</v>
      </c>
      <c r="AL36" s="61">
        <f t="shared" si="6"/>
        <v>15.134524402133009</v>
      </c>
      <c r="AM36" s="61">
        <f t="shared" si="6"/>
        <v>14.661570514566353</v>
      </c>
      <c r="AN36" s="61">
        <f t="shared" si="6"/>
        <v>14.188616626999696</v>
      </c>
      <c r="AO36" s="61">
        <f t="shared" si="6"/>
        <v>13.715662739433039</v>
      </c>
      <c r="AP36" s="61">
        <f t="shared" si="6"/>
        <v>13.242708851866382</v>
      </c>
      <c r="AQ36" s="61">
        <f t="shared" si="6"/>
        <v>12.769754964299727</v>
      </c>
      <c r="AR36" s="61">
        <f t="shared" si="6"/>
        <v>12.29680107673307</v>
      </c>
      <c r="AS36" s="61">
        <f t="shared" ref="AS36:AY45" si="7">IF(AND(AS$4&gt;$E36,YEAR(AS$4)&lt;(YEAR($E36)+$I$16+1)),($I36*($I$16-YEAR(AS$4)+YEAR($E36)+1)/$I$34),0)</f>
        <v>11.823847189166413</v>
      </c>
      <c r="AT36" s="89">
        <f t="shared" si="7"/>
        <v>11.350893301599756</v>
      </c>
      <c r="AU36" s="96">
        <f t="shared" si="7"/>
        <v>10.877939414033101</v>
      </c>
      <c r="AV36" s="61">
        <f t="shared" si="7"/>
        <v>10.404985526466444</v>
      </c>
      <c r="AW36" s="61">
        <f t="shared" si="7"/>
        <v>9.9320316388997867</v>
      </c>
      <c r="AX36" s="61">
        <f t="shared" si="7"/>
        <v>9.4590777513331314</v>
      </c>
      <c r="AY36" s="61">
        <f t="shared" si="7"/>
        <v>8.9861238637664744</v>
      </c>
      <c r="BA36" s="116" t="str">
        <f t="shared" ref="BA36:BA63" ca="1" si="8">$A$1</f>
        <v>Depreciation</v>
      </c>
      <c r="BB36" s="1" t="str">
        <f t="shared" ref="BB36:BB63" si="9">$A$33</f>
        <v>Post-vesting sum of digits</v>
      </c>
    </row>
    <row r="37" spans="1:54">
      <c r="E37" s="68">
        <v>38442</v>
      </c>
      <c r="G37" s="68" t="str">
        <f t="shared" si="4"/>
        <v>£m 23/24 prices</v>
      </c>
      <c r="I37" s="38">
        <v>157.60976769562583</v>
      </c>
      <c r="J37" s="43" t="s">
        <v>10</v>
      </c>
      <c r="Y37" s="61">
        <f t="shared" si="5"/>
        <v>0</v>
      </c>
      <c r="Z37" s="61">
        <f t="shared" si="5"/>
        <v>6.852598595461993</v>
      </c>
      <c r="AA37" s="61">
        <f t="shared" si="5"/>
        <v>6.7003186266739485</v>
      </c>
      <c r="AB37" s="61">
        <f t="shared" si="5"/>
        <v>6.5480386578859049</v>
      </c>
      <c r="AC37" s="61">
        <f t="shared" si="5"/>
        <v>6.3957586890978604</v>
      </c>
      <c r="AD37" s="61">
        <f t="shared" si="5"/>
        <v>6.2434787203098159</v>
      </c>
      <c r="AE37" s="61">
        <f t="shared" si="5"/>
        <v>6.0911987515217714</v>
      </c>
      <c r="AF37" s="61">
        <f t="shared" si="5"/>
        <v>5.9389187827337269</v>
      </c>
      <c r="AG37" s="61">
        <f t="shared" si="5"/>
        <v>5.7866388139456832</v>
      </c>
      <c r="AH37" s="61">
        <f t="shared" si="5"/>
        <v>5.6343588451576387</v>
      </c>
      <c r="AI37" s="61">
        <f t="shared" si="6"/>
        <v>5.4820788763695942</v>
      </c>
      <c r="AJ37" s="61">
        <f t="shared" si="6"/>
        <v>5.3297989075815497</v>
      </c>
      <c r="AK37" s="61">
        <f t="shared" si="6"/>
        <v>5.1775189387935061</v>
      </c>
      <c r="AL37" s="61">
        <f t="shared" si="6"/>
        <v>5.0252389700054616</v>
      </c>
      <c r="AM37" s="61">
        <f t="shared" si="6"/>
        <v>4.8729590012174171</v>
      </c>
      <c r="AN37" s="61">
        <f t="shared" si="6"/>
        <v>4.7206790324293726</v>
      </c>
      <c r="AO37" s="61">
        <f t="shared" si="6"/>
        <v>4.5683990636413281</v>
      </c>
      <c r="AP37" s="61">
        <f t="shared" si="6"/>
        <v>4.4161190948532845</v>
      </c>
      <c r="AQ37" s="61">
        <f t="shared" si="6"/>
        <v>4.26383912606524</v>
      </c>
      <c r="AR37" s="61">
        <f t="shared" si="6"/>
        <v>4.1115591572771955</v>
      </c>
      <c r="AS37" s="61">
        <f t="shared" si="7"/>
        <v>3.9592791884891509</v>
      </c>
      <c r="AT37" s="89">
        <f t="shared" si="7"/>
        <v>3.8069992197011069</v>
      </c>
      <c r="AU37" s="96">
        <f t="shared" si="7"/>
        <v>3.6547192509130628</v>
      </c>
      <c r="AV37" s="61">
        <f t="shared" si="7"/>
        <v>3.5024392821250188</v>
      </c>
      <c r="AW37" s="61">
        <f t="shared" si="7"/>
        <v>3.3501593133369743</v>
      </c>
      <c r="AX37" s="61">
        <f t="shared" si="7"/>
        <v>3.1978793445489302</v>
      </c>
      <c r="AY37" s="61">
        <f t="shared" si="7"/>
        <v>3.0455993757608857</v>
      </c>
      <c r="BA37" s="116" t="str">
        <f t="shared" ca="1" si="8"/>
        <v>Depreciation</v>
      </c>
      <c r="BB37" s="1" t="str">
        <f t="shared" si="9"/>
        <v>Post-vesting sum of digits</v>
      </c>
    </row>
    <row r="38" spans="1:54">
      <c r="E38" s="68">
        <v>38807</v>
      </c>
      <c r="G38" s="68" t="str">
        <f t="shared" si="4"/>
        <v>£m 23/24 prices</v>
      </c>
      <c r="I38" s="38">
        <v>490.59417497458742</v>
      </c>
      <c r="J38" s="43" t="s">
        <v>10</v>
      </c>
      <c r="Y38" s="61">
        <f t="shared" si="5"/>
        <v>0</v>
      </c>
      <c r="Z38" s="61">
        <f t="shared" si="5"/>
        <v>0</v>
      </c>
      <c r="AA38" s="61">
        <f t="shared" si="5"/>
        <v>21.330181520634234</v>
      </c>
      <c r="AB38" s="61">
        <f t="shared" si="5"/>
        <v>20.856177486842363</v>
      </c>
      <c r="AC38" s="61">
        <f t="shared" si="5"/>
        <v>20.382173453050491</v>
      </c>
      <c r="AD38" s="61">
        <f t="shared" si="5"/>
        <v>19.90816941925862</v>
      </c>
      <c r="AE38" s="61">
        <f t="shared" si="5"/>
        <v>19.434165385466748</v>
      </c>
      <c r="AF38" s="61">
        <f t="shared" si="5"/>
        <v>18.960161351674877</v>
      </c>
      <c r="AG38" s="61">
        <f t="shared" si="5"/>
        <v>18.486157317883006</v>
      </c>
      <c r="AH38" s="61">
        <f t="shared" si="5"/>
        <v>18.012153284091134</v>
      </c>
      <c r="AI38" s="61">
        <f t="shared" si="6"/>
        <v>17.538149250299259</v>
      </c>
      <c r="AJ38" s="61">
        <f t="shared" si="6"/>
        <v>17.064145216507388</v>
      </c>
      <c r="AK38" s="61">
        <f t="shared" si="6"/>
        <v>16.590141182715517</v>
      </c>
      <c r="AL38" s="61">
        <f t="shared" si="6"/>
        <v>16.116137148923645</v>
      </c>
      <c r="AM38" s="61">
        <f t="shared" si="6"/>
        <v>15.642133115131772</v>
      </c>
      <c r="AN38" s="61">
        <f t="shared" si="6"/>
        <v>15.168129081339901</v>
      </c>
      <c r="AO38" s="61">
        <f t="shared" si="6"/>
        <v>14.694125047548029</v>
      </c>
      <c r="AP38" s="61">
        <f t="shared" si="6"/>
        <v>14.220121013756158</v>
      </c>
      <c r="AQ38" s="61">
        <f t="shared" si="6"/>
        <v>13.746116979964285</v>
      </c>
      <c r="AR38" s="61">
        <f t="shared" si="6"/>
        <v>13.272112946172413</v>
      </c>
      <c r="AS38" s="61">
        <f t="shared" si="7"/>
        <v>12.798108912380542</v>
      </c>
      <c r="AT38" s="89">
        <f t="shared" si="7"/>
        <v>12.32410487858867</v>
      </c>
      <c r="AU38" s="96">
        <f t="shared" si="7"/>
        <v>11.850100844796797</v>
      </c>
      <c r="AV38" s="61">
        <f t="shared" si="7"/>
        <v>11.376096811004924</v>
      </c>
      <c r="AW38" s="61">
        <f t="shared" si="7"/>
        <v>10.902092777213053</v>
      </c>
      <c r="AX38" s="61">
        <f t="shared" si="7"/>
        <v>10.428088743421181</v>
      </c>
      <c r="AY38" s="61">
        <f t="shared" si="7"/>
        <v>9.9540847096293099</v>
      </c>
      <c r="BA38" s="116" t="str">
        <f t="shared" ca="1" si="8"/>
        <v>Depreciation</v>
      </c>
      <c r="BB38" s="1" t="str">
        <f t="shared" si="9"/>
        <v>Post-vesting sum of digits</v>
      </c>
    </row>
    <row r="39" spans="1:54">
      <c r="E39" s="68">
        <v>39172</v>
      </c>
      <c r="G39" s="68" t="str">
        <f t="shared" si="4"/>
        <v>£m 23/24 prices</v>
      </c>
      <c r="I39" s="38">
        <v>884.86120142045354</v>
      </c>
      <c r="J39" s="43" t="s">
        <v>10</v>
      </c>
      <c r="Y39" s="61">
        <f t="shared" si="5"/>
        <v>0</v>
      </c>
      <c r="Z39" s="61">
        <f t="shared" si="5"/>
        <v>0</v>
      </c>
      <c r="AA39" s="61">
        <f t="shared" si="5"/>
        <v>0</v>
      </c>
      <c r="AB39" s="61">
        <f t="shared" si="5"/>
        <v>38.472226148715372</v>
      </c>
      <c r="AC39" s="61">
        <f t="shared" si="5"/>
        <v>37.617287789855027</v>
      </c>
      <c r="AD39" s="61">
        <f t="shared" si="5"/>
        <v>36.762349430994689</v>
      </c>
      <c r="AE39" s="61">
        <f t="shared" si="5"/>
        <v>35.907411072134344</v>
      </c>
      <c r="AF39" s="61">
        <f t="shared" si="5"/>
        <v>35.052472713274007</v>
      </c>
      <c r="AG39" s="61">
        <f t="shared" si="5"/>
        <v>34.197534354413662</v>
      </c>
      <c r="AH39" s="61">
        <f t="shared" si="5"/>
        <v>33.342595995553324</v>
      </c>
      <c r="AI39" s="61">
        <f t="shared" si="6"/>
        <v>32.48765763669298</v>
      </c>
      <c r="AJ39" s="61">
        <f t="shared" si="6"/>
        <v>31.632719277832638</v>
      </c>
      <c r="AK39" s="61">
        <f t="shared" si="6"/>
        <v>30.777780918972297</v>
      </c>
      <c r="AL39" s="61">
        <f t="shared" si="6"/>
        <v>29.922842560111953</v>
      </c>
      <c r="AM39" s="61">
        <f t="shared" si="6"/>
        <v>29.067904201251615</v>
      </c>
      <c r="AN39" s="61">
        <f t="shared" si="6"/>
        <v>28.21296584239127</v>
      </c>
      <c r="AO39" s="61">
        <f t="shared" si="6"/>
        <v>27.358027483530929</v>
      </c>
      <c r="AP39" s="61">
        <f t="shared" si="6"/>
        <v>26.503089124670591</v>
      </c>
      <c r="AQ39" s="61">
        <f t="shared" si="6"/>
        <v>25.648150765810247</v>
      </c>
      <c r="AR39" s="61">
        <f t="shared" si="6"/>
        <v>24.793212406949909</v>
      </c>
      <c r="AS39" s="61">
        <f t="shared" si="7"/>
        <v>23.938274048089564</v>
      </c>
      <c r="AT39" s="89">
        <f t="shared" si="7"/>
        <v>23.083335689229223</v>
      </c>
      <c r="AU39" s="96">
        <f t="shared" si="7"/>
        <v>22.228397330368882</v>
      </c>
      <c r="AV39" s="61">
        <f t="shared" si="7"/>
        <v>21.373458971508541</v>
      </c>
      <c r="AW39" s="61">
        <f t="shared" si="7"/>
        <v>20.518520612648196</v>
      </c>
      <c r="AX39" s="61">
        <f t="shared" si="7"/>
        <v>19.663582253787858</v>
      </c>
      <c r="AY39" s="61">
        <f t="shared" si="7"/>
        <v>18.808643894927513</v>
      </c>
      <c r="BA39" s="116" t="str">
        <f t="shared" ca="1" si="8"/>
        <v>Depreciation</v>
      </c>
      <c r="BB39" s="1" t="str">
        <f t="shared" si="9"/>
        <v>Post-vesting sum of digits</v>
      </c>
    </row>
    <row r="40" spans="1:54">
      <c r="E40" s="68">
        <v>39538</v>
      </c>
      <c r="G40" s="68" t="str">
        <f t="shared" si="4"/>
        <v>£m 23/24 prices</v>
      </c>
      <c r="I40" s="38">
        <v>957.9204794502175</v>
      </c>
      <c r="J40" s="43" t="s">
        <v>10</v>
      </c>
      <c r="Y40" s="61">
        <f t="shared" si="5"/>
        <v>0</v>
      </c>
      <c r="Z40" s="61">
        <f t="shared" si="5"/>
        <v>0</v>
      </c>
      <c r="AA40" s="61">
        <f t="shared" si="5"/>
        <v>0</v>
      </c>
      <c r="AB40" s="61">
        <f t="shared" si="5"/>
        <v>0</v>
      </c>
      <c r="AC40" s="61">
        <f t="shared" si="5"/>
        <v>41.648716497835544</v>
      </c>
      <c r="AD40" s="61">
        <f t="shared" si="5"/>
        <v>40.723189464550309</v>
      </c>
      <c r="AE40" s="61">
        <f t="shared" si="5"/>
        <v>39.797662431265074</v>
      </c>
      <c r="AF40" s="61">
        <f t="shared" si="5"/>
        <v>38.872135397979839</v>
      </c>
      <c r="AG40" s="61">
        <f t="shared" si="5"/>
        <v>37.946608364694605</v>
      </c>
      <c r="AH40" s="61">
        <f t="shared" si="5"/>
        <v>37.02108133140937</v>
      </c>
      <c r="AI40" s="61">
        <f t="shared" si="6"/>
        <v>36.095554298124142</v>
      </c>
      <c r="AJ40" s="61">
        <f t="shared" si="6"/>
        <v>35.1700272648389</v>
      </c>
      <c r="AK40" s="61">
        <f t="shared" si="6"/>
        <v>34.244500231553673</v>
      </c>
      <c r="AL40" s="61">
        <f t="shared" si="6"/>
        <v>33.318973198268438</v>
      </c>
      <c r="AM40" s="61">
        <f t="shared" si="6"/>
        <v>32.393446164983203</v>
      </c>
      <c r="AN40" s="61">
        <f t="shared" si="6"/>
        <v>31.467919131697968</v>
      </c>
      <c r="AO40" s="61">
        <f t="shared" si="6"/>
        <v>30.542392098412734</v>
      </c>
      <c r="AP40" s="61">
        <f t="shared" si="6"/>
        <v>29.616865065127499</v>
      </c>
      <c r="AQ40" s="61">
        <f t="shared" si="6"/>
        <v>28.691338031842264</v>
      </c>
      <c r="AR40" s="61">
        <f t="shared" si="6"/>
        <v>27.765810998557026</v>
      </c>
      <c r="AS40" s="61">
        <f t="shared" si="7"/>
        <v>26.840283965271794</v>
      </c>
      <c r="AT40" s="89">
        <f t="shared" si="7"/>
        <v>25.91475693198656</v>
      </c>
      <c r="AU40" s="96">
        <f t="shared" si="7"/>
        <v>24.989229898701325</v>
      </c>
      <c r="AV40" s="61">
        <f t="shared" si="7"/>
        <v>24.063702865416094</v>
      </c>
      <c r="AW40" s="61">
        <f t="shared" si="7"/>
        <v>23.138175832130859</v>
      </c>
      <c r="AX40" s="61">
        <f t="shared" si="7"/>
        <v>22.212648798845624</v>
      </c>
      <c r="AY40" s="61">
        <f t="shared" si="7"/>
        <v>21.287121765560389</v>
      </c>
      <c r="BA40" s="116" t="str">
        <f t="shared" ca="1" si="8"/>
        <v>Depreciation</v>
      </c>
      <c r="BB40" s="1" t="str">
        <f t="shared" si="9"/>
        <v>Post-vesting sum of digits</v>
      </c>
    </row>
    <row r="41" spans="1:54">
      <c r="E41" s="68">
        <v>39903</v>
      </c>
      <c r="G41" s="68" t="str">
        <f t="shared" si="4"/>
        <v>£m 23/24 prices</v>
      </c>
      <c r="I41" s="38">
        <v>405.1758456583176</v>
      </c>
      <c r="J41" s="43" t="s">
        <v>10</v>
      </c>
      <c r="Y41" s="61">
        <f t="shared" si="5"/>
        <v>0</v>
      </c>
      <c r="Z41" s="61">
        <f t="shared" si="5"/>
        <v>0</v>
      </c>
      <c r="AA41" s="61">
        <f t="shared" si="5"/>
        <v>0</v>
      </c>
      <c r="AB41" s="61">
        <f t="shared" si="5"/>
        <v>0</v>
      </c>
      <c r="AC41" s="61">
        <f t="shared" si="5"/>
        <v>0</v>
      </c>
      <c r="AD41" s="61">
        <f t="shared" si="5"/>
        <v>17.616341115579026</v>
      </c>
      <c r="AE41" s="61">
        <f t="shared" si="5"/>
        <v>17.224866868566156</v>
      </c>
      <c r="AF41" s="61">
        <f t="shared" si="5"/>
        <v>16.833392621553291</v>
      </c>
      <c r="AG41" s="61">
        <f t="shared" si="5"/>
        <v>16.441918374540425</v>
      </c>
      <c r="AH41" s="61">
        <f t="shared" si="5"/>
        <v>16.050444127527559</v>
      </c>
      <c r="AI41" s="61">
        <f t="shared" si="6"/>
        <v>15.65896988051469</v>
      </c>
      <c r="AJ41" s="61">
        <f t="shared" si="6"/>
        <v>15.267495633501822</v>
      </c>
      <c r="AK41" s="61">
        <f t="shared" si="6"/>
        <v>14.876021386488954</v>
      </c>
      <c r="AL41" s="61">
        <f t="shared" si="6"/>
        <v>14.484547139476087</v>
      </c>
      <c r="AM41" s="61">
        <f t="shared" si="6"/>
        <v>14.093072892463221</v>
      </c>
      <c r="AN41" s="61">
        <f t="shared" si="6"/>
        <v>13.701598645450353</v>
      </c>
      <c r="AO41" s="61">
        <f t="shared" si="6"/>
        <v>13.310124398437486</v>
      </c>
      <c r="AP41" s="61">
        <f t="shared" si="6"/>
        <v>12.918650151424618</v>
      </c>
      <c r="AQ41" s="61">
        <f t="shared" si="6"/>
        <v>12.527175904411752</v>
      </c>
      <c r="AR41" s="61">
        <f t="shared" si="6"/>
        <v>12.135701657398885</v>
      </c>
      <c r="AS41" s="61">
        <f t="shared" si="7"/>
        <v>11.744227410386017</v>
      </c>
      <c r="AT41" s="89">
        <f t="shared" si="7"/>
        <v>11.35275316337315</v>
      </c>
      <c r="AU41" s="96">
        <f t="shared" si="7"/>
        <v>10.961278916360284</v>
      </c>
      <c r="AV41" s="61">
        <f t="shared" si="7"/>
        <v>10.569804669347416</v>
      </c>
      <c r="AW41" s="61">
        <f t="shared" si="7"/>
        <v>10.178330422334549</v>
      </c>
      <c r="AX41" s="61">
        <f t="shared" si="7"/>
        <v>9.7868561753216827</v>
      </c>
      <c r="AY41" s="61">
        <f t="shared" si="7"/>
        <v>9.3953819283088151</v>
      </c>
      <c r="BA41" s="116" t="str">
        <f t="shared" ca="1" si="8"/>
        <v>Depreciation</v>
      </c>
      <c r="BB41" s="1" t="str">
        <f t="shared" si="9"/>
        <v>Post-vesting sum of digits</v>
      </c>
    </row>
    <row r="42" spans="1:54">
      <c r="E42" s="68">
        <v>40268</v>
      </c>
      <c r="G42" s="68" t="str">
        <f t="shared" si="4"/>
        <v>£m 23/24 prices</v>
      </c>
      <c r="I42" s="38">
        <v>201.45679890575062</v>
      </c>
      <c r="J42" s="43" t="s">
        <v>10</v>
      </c>
      <c r="Y42" s="61">
        <f t="shared" si="5"/>
        <v>0</v>
      </c>
      <c r="Z42" s="61">
        <f t="shared" si="5"/>
        <v>0</v>
      </c>
      <c r="AA42" s="61">
        <f t="shared" si="5"/>
        <v>0</v>
      </c>
      <c r="AB42" s="61">
        <f t="shared" si="5"/>
        <v>0</v>
      </c>
      <c r="AC42" s="61">
        <f t="shared" si="5"/>
        <v>0</v>
      </c>
      <c r="AD42" s="61">
        <f t="shared" si="5"/>
        <v>0</v>
      </c>
      <c r="AE42" s="61">
        <f t="shared" si="5"/>
        <v>8.7589912567717665</v>
      </c>
      <c r="AF42" s="61">
        <f t="shared" si="5"/>
        <v>8.564347006621281</v>
      </c>
      <c r="AG42" s="61">
        <f t="shared" si="5"/>
        <v>8.3697027564707973</v>
      </c>
      <c r="AH42" s="61">
        <f t="shared" si="5"/>
        <v>8.1750585063203136</v>
      </c>
      <c r="AI42" s="61">
        <f t="shared" si="6"/>
        <v>7.9804142561698308</v>
      </c>
      <c r="AJ42" s="61">
        <f t="shared" si="6"/>
        <v>7.7857700060193471</v>
      </c>
      <c r="AK42" s="61">
        <f t="shared" si="6"/>
        <v>7.5911257558688634</v>
      </c>
      <c r="AL42" s="61">
        <f t="shared" si="6"/>
        <v>7.3964815057183806</v>
      </c>
      <c r="AM42" s="61">
        <f t="shared" si="6"/>
        <v>7.2018372555678969</v>
      </c>
      <c r="AN42" s="61">
        <f t="shared" si="6"/>
        <v>7.0071930054174132</v>
      </c>
      <c r="AO42" s="61">
        <f t="shared" si="6"/>
        <v>6.8125487552669286</v>
      </c>
      <c r="AP42" s="61">
        <f t="shared" si="6"/>
        <v>6.6179045051164449</v>
      </c>
      <c r="AQ42" s="61">
        <f t="shared" si="6"/>
        <v>6.4232602549659612</v>
      </c>
      <c r="AR42" s="61">
        <f t="shared" si="6"/>
        <v>6.2286160048154784</v>
      </c>
      <c r="AS42" s="61">
        <f t="shared" si="7"/>
        <v>6.0339717546649947</v>
      </c>
      <c r="AT42" s="89">
        <f t="shared" si="7"/>
        <v>5.839327504514511</v>
      </c>
      <c r="AU42" s="96">
        <f t="shared" si="7"/>
        <v>5.6446832543640273</v>
      </c>
      <c r="AV42" s="61">
        <f t="shared" si="7"/>
        <v>5.4500390042135427</v>
      </c>
      <c r="AW42" s="61">
        <f t="shared" si="7"/>
        <v>5.255394754063059</v>
      </c>
      <c r="AX42" s="61">
        <f t="shared" si="7"/>
        <v>5.0607505039125762</v>
      </c>
      <c r="AY42" s="61">
        <f t="shared" si="7"/>
        <v>4.8661062537620925</v>
      </c>
      <c r="BA42" s="116" t="str">
        <f t="shared" ca="1" si="8"/>
        <v>Depreciation</v>
      </c>
      <c r="BB42" s="1" t="str">
        <f t="shared" si="9"/>
        <v>Post-vesting sum of digits</v>
      </c>
    </row>
    <row r="43" spans="1:54">
      <c r="E43" s="68">
        <v>40633</v>
      </c>
      <c r="G43" s="68" t="str">
        <f t="shared" si="4"/>
        <v>£m 23/24 prices</v>
      </c>
      <c r="I43" s="38">
        <v>163.49980480015913</v>
      </c>
      <c r="J43" s="43" t="s">
        <v>10</v>
      </c>
      <c r="Y43" s="61">
        <f t="shared" si="5"/>
        <v>0</v>
      </c>
      <c r="Z43" s="61">
        <f t="shared" si="5"/>
        <v>0</v>
      </c>
      <c r="AA43" s="61">
        <f t="shared" si="5"/>
        <v>0</v>
      </c>
      <c r="AB43" s="61">
        <f t="shared" si="5"/>
        <v>0</v>
      </c>
      <c r="AC43" s="61">
        <f t="shared" si="5"/>
        <v>0</v>
      </c>
      <c r="AD43" s="61">
        <f t="shared" si="5"/>
        <v>0</v>
      </c>
      <c r="AE43" s="61">
        <f t="shared" si="5"/>
        <v>0</v>
      </c>
      <c r="AF43" s="61">
        <f t="shared" si="5"/>
        <v>7.1086871652243095</v>
      </c>
      <c r="AG43" s="61">
        <f t="shared" si="5"/>
        <v>6.9507163393304365</v>
      </c>
      <c r="AH43" s="61">
        <f t="shared" si="5"/>
        <v>6.7927455134365626</v>
      </c>
      <c r="AI43" s="61">
        <f t="shared" si="6"/>
        <v>6.6347746875426887</v>
      </c>
      <c r="AJ43" s="61">
        <f t="shared" si="6"/>
        <v>6.4768038616488157</v>
      </c>
      <c r="AK43" s="61">
        <f t="shared" si="6"/>
        <v>6.3188330357549427</v>
      </c>
      <c r="AL43" s="61">
        <f t="shared" si="6"/>
        <v>6.1608622098610688</v>
      </c>
      <c r="AM43" s="61">
        <f t="shared" si="6"/>
        <v>6.0028913839671949</v>
      </c>
      <c r="AN43" s="61">
        <f t="shared" si="6"/>
        <v>5.844920558073321</v>
      </c>
      <c r="AO43" s="61">
        <f t="shared" si="6"/>
        <v>5.686949732179448</v>
      </c>
      <c r="AP43" s="61">
        <f t="shared" si="6"/>
        <v>5.528978906285575</v>
      </c>
      <c r="AQ43" s="61">
        <f t="shared" si="6"/>
        <v>5.3710080803917002</v>
      </c>
      <c r="AR43" s="61">
        <f t="shared" si="6"/>
        <v>5.2130372544978272</v>
      </c>
      <c r="AS43" s="61">
        <f t="shared" si="7"/>
        <v>5.0550664286039533</v>
      </c>
      <c r="AT43" s="89">
        <f t="shared" si="7"/>
        <v>4.8970956027100803</v>
      </c>
      <c r="AU43" s="96">
        <f t="shared" si="7"/>
        <v>4.7391247768162073</v>
      </c>
      <c r="AV43" s="61">
        <f t="shared" si="7"/>
        <v>4.5811539509223325</v>
      </c>
      <c r="AW43" s="61">
        <f t="shared" si="7"/>
        <v>4.4231831250284595</v>
      </c>
      <c r="AX43" s="61">
        <f t="shared" si="7"/>
        <v>4.2652122991345855</v>
      </c>
      <c r="AY43" s="61">
        <f t="shared" si="7"/>
        <v>4.1072414732407125</v>
      </c>
      <c r="BA43" s="116" t="str">
        <f t="shared" ca="1" si="8"/>
        <v>Depreciation</v>
      </c>
      <c r="BB43" s="1" t="str">
        <f t="shared" si="9"/>
        <v>Post-vesting sum of digits</v>
      </c>
    </row>
    <row r="44" spans="1:54">
      <c r="E44" s="68">
        <v>40999</v>
      </c>
      <c r="G44" s="68" t="str">
        <f t="shared" si="4"/>
        <v>£m 23/24 prices</v>
      </c>
      <c r="I44" s="38">
        <v>165.3576046586341</v>
      </c>
      <c r="J44" s="43" t="s">
        <v>10</v>
      </c>
      <c r="Y44" s="61">
        <f t="shared" si="5"/>
        <v>0</v>
      </c>
      <c r="Z44" s="61">
        <f t="shared" si="5"/>
        <v>0</v>
      </c>
      <c r="AA44" s="61">
        <f t="shared" si="5"/>
        <v>0</v>
      </c>
      <c r="AB44" s="61">
        <f t="shared" si="5"/>
        <v>0</v>
      </c>
      <c r="AC44" s="61">
        <f t="shared" si="5"/>
        <v>0</v>
      </c>
      <c r="AD44" s="61">
        <f t="shared" si="5"/>
        <v>0</v>
      </c>
      <c r="AE44" s="61">
        <f t="shared" si="5"/>
        <v>0</v>
      </c>
      <c r="AF44" s="61">
        <f t="shared" si="5"/>
        <v>0</v>
      </c>
      <c r="AG44" s="61">
        <f t="shared" si="5"/>
        <v>7.1894610721145265</v>
      </c>
      <c r="AH44" s="61">
        <f t="shared" si="5"/>
        <v>7.0296952705119811</v>
      </c>
      <c r="AI44" s="61">
        <f t="shared" si="6"/>
        <v>6.8699294689094366</v>
      </c>
      <c r="AJ44" s="61">
        <f t="shared" si="6"/>
        <v>6.7101636673068912</v>
      </c>
      <c r="AK44" s="61">
        <f t="shared" si="6"/>
        <v>6.5503978657043467</v>
      </c>
      <c r="AL44" s="61">
        <f t="shared" si="6"/>
        <v>6.3906320641018004</v>
      </c>
      <c r="AM44" s="61">
        <f t="shared" si="6"/>
        <v>6.2308662624992559</v>
      </c>
      <c r="AN44" s="61">
        <f t="shared" si="6"/>
        <v>6.0711004608967105</v>
      </c>
      <c r="AO44" s="61">
        <f t="shared" si="6"/>
        <v>5.911334659294166</v>
      </c>
      <c r="AP44" s="61">
        <f t="shared" si="6"/>
        <v>5.7515688576916206</v>
      </c>
      <c r="AQ44" s="61">
        <f t="shared" si="6"/>
        <v>5.5918030560890761</v>
      </c>
      <c r="AR44" s="61">
        <f t="shared" si="6"/>
        <v>5.4320372544865307</v>
      </c>
      <c r="AS44" s="61">
        <f t="shared" si="7"/>
        <v>5.2722714528839862</v>
      </c>
      <c r="AT44" s="89">
        <f t="shared" si="7"/>
        <v>5.1125056512814409</v>
      </c>
      <c r="AU44" s="96">
        <f t="shared" si="7"/>
        <v>4.9527398496788955</v>
      </c>
      <c r="AV44" s="61">
        <f t="shared" si="7"/>
        <v>4.792974048076351</v>
      </c>
      <c r="AW44" s="61">
        <f t="shared" si="7"/>
        <v>4.6332082464738056</v>
      </c>
      <c r="AX44" s="61">
        <f t="shared" si="7"/>
        <v>4.4734424448712611</v>
      </c>
      <c r="AY44" s="61">
        <f t="shared" si="7"/>
        <v>4.3136766432687157</v>
      </c>
      <c r="BA44" s="116" t="str">
        <f t="shared" ca="1" si="8"/>
        <v>Depreciation</v>
      </c>
      <c r="BB44" s="1" t="str">
        <f t="shared" si="9"/>
        <v>Post-vesting sum of digits</v>
      </c>
    </row>
    <row r="45" spans="1:54">
      <c r="E45" s="68">
        <v>41364</v>
      </c>
      <c r="G45" s="68" t="str">
        <f t="shared" si="4"/>
        <v>£m 23/24 prices</v>
      </c>
      <c r="I45" s="38">
        <v>-47.034102572314929</v>
      </c>
      <c r="J45" s="43" t="s">
        <v>10</v>
      </c>
      <c r="Y45" s="61">
        <f t="shared" si="5"/>
        <v>0</v>
      </c>
      <c r="Z45" s="61">
        <f t="shared" si="5"/>
        <v>0</v>
      </c>
      <c r="AA45" s="61">
        <f t="shared" si="5"/>
        <v>0</v>
      </c>
      <c r="AB45" s="61">
        <f t="shared" si="5"/>
        <v>0</v>
      </c>
      <c r="AC45" s="61">
        <f t="shared" si="5"/>
        <v>0</v>
      </c>
      <c r="AD45" s="61">
        <f t="shared" si="5"/>
        <v>0</v>
      </c>
      <c r="AE45" s="61">
        <f t="shared" si="5"/>
        <v>0</v>
      </c>
      <c r="AF45" s="61">
        <f t="shared" si="5"/>
        <v>0</v>
      </c>
      <c r="AG45" s="61">
        <f t="shared" si="5"/>
        <v>0</v>
      </c>
      <c r="AH45" s="61">
        <f t="shared" si="5"/>
        <v>-2.0449609814049969</v>
      </c>
      <c r="AI45" s="61">
        <f t="shared" si="6"/>
        <v>-1.9995174040404415</v>
      </c>
      <c r="AJ45" s="61">
        <f t="shared" si="6"/>
        <v>-1.9540738266758859</v>
      </c>
      <c r="AK45" s="61">
        <f t="shared" si="6"/>
        <v>-1.9086302493113303</v>
      </c>
      <c r="AL45" s="61">
        <f t="shared" si="6"/>
        <v>-1.8631866719467749</v>
      </c>
      <c r="AM45" s="61">
        <f t="shared" si="6"/>
        <v>-1.8177430945822195</v>
      </c>
      <c r="AN45" s="61">
        <f t="shared" si="6"/>
        <v>-1.7722995172176639</v>
      </c>
      <c r="AO45" s="61">
        <f t="shared" si="6"/>
        <v>-1.7268559398531085</v>
      </c>
      <c r="AP45" s="61">
        <f t="shared" si="6"/>
        <v>-1.6814123624885531</v>
      </c>
      <c r="AQ45" s="61">
        <f t="shared" si="6"/>
        <v>-1.6359687851239975</v>
      </c>
      <c r="AR45" s="61">
        <f t="shared" si="6"/>
        <v>-1.5905252077594421</v>
      </c>
      <c r="AS45" s="61">
        <f t="shared" si="7"/>
        <v>-1.5450816303948867</v>
      </c>
      <c r="AT45" s="89">
        <f t="shared" si="7"/>
        <v>-1.499638053030331</v>
      </c>
      <c r="AU45" s="96">
        <f t="shared" si="7"/>
        <v>-1.4541944756657756</v>
      </c>
      <c r="AV45" s="61">
        <f t="shared" si="7"/>
        <v>-1.4087508983012202</v>
      </c>
      <c r="AW45" s="61">
        <f t="shared" si="7"/>
        <v>-1.3633073209366646</v>
      </c>
      <c r="AX45" s="61">
        <f t="shared" si="7"/>
        <v>-1.3178637435721092</v>
      </c>
      <c r="AY45" s="61">
        <f t="shared" si="7"/>
        <v>-1.2724201662075536</v>
      </c>
      <c r="BA45" s="116" t="str">
        <f t="shared" ca="1" si="8"/>
        <v>Depreciation</v>
      </c>
      <c r="BB45" s="1" t="str">
        <f t="shared" si="9"/>
        <v>Post-vesting sum of digits</v>
      </c>
    </row>
    <row r="46" spans="1:54">
      <c r="E46" s="68">
        <v>41729</v>
      </c>
      <c r="G46" s="68" t="str">
        <f t="shared" si="4"/>
        <v>£m 23/24 prices</v>
      </c>
      <c r="I46" s="38">
        <v>262.13061665762154</v>
      </c>
      <c r="J46" s="43" t="s">
        <v>10</v>
      </c>
      <c r="Y46" s="61">
        <f t="shared" ref="Y46:AH55" si="10">IF(AND(Y$4&gt;$E46,YEAR(Y$4)&lt;(YEAR($E46)+$I$16+1)),($I46*($I$16-YEAR(Y$4)+YEAR($E46)+1)/$I$34),0)</f>
        <v>0</v>
      </c>
      <c r="Z46" s="61">
        <f t="shared" si="10"/>
        <v>0</v>
      </c>
      <c r="AA46" s="61">
        <f t="shared" si="10"/>
        <v>0</v>
      </c>
      <c r="AB46" s="61">
        <f t="shared" si="10"/>
        <v>0</v>
      </c>
      <c r="AC46" s="61">
        <f t="shared" si="10"/>
        <v>0</v>
      </c>
      <c r="AD46" s="61">
        <f t="shared" si="10"/>
        <v>0</v>
      </c>
      <c r="AE46" s="61">
        <f t="shared" si="10"/>
        <v>0</v>
      </c>
      <c r="AF46" s="61">
        <f t="shared" si="10"/>
        <v>0</v>
      </c>
      <c r="AG46" s="61">
        <f t="shared" si="10"/>
        <v>0</v>
      </c>
      <c r="AH46" s="61">
        <f t="shared" si="10"/>
        <v>0</v>
      </c>
      <c r="AI46" s="61">
        <f t="shared" ref="AI46:AR55" si="11">IF(AND(AI$4&gt;$E46,YEAR(AI$4)&lt;(YEAR($E46)+$I$16+1)),($I46*($I$16-YEAR(AI$4)+YEAR($E46)+1)/$I$34),0)</f>
        <v>11.396983332940067</v>
      </c>
      <c r="AJ46" s="61">
        <f t="shared" si="11"/>
        <v>11.143717036652511</v>
      </c>
      <c r="AK46" s="61">
        <f t="shared" si="11"/>
        <v>10.890450740364953</v>
      </c>
      <c r="AL46" s="61">
        <f t="shared" si="11"/>
        <v>10.637184444077397</v>
      </c>
      <c r="AM46" s="61">
        <f t="shared" si="11"/>
        <v>10.38391814778984</v>
      </c>
      <c r="AN46" s="61">
        <f t="shared" si="11"/>
        <v>10.130651851502281</v>
      </c>
      <c r="AO46" s="61">
        <f t="shared" si="11"/>
        <v>9.8773855552147243</v>
      </c>
      <c r="AP46" s="61">
        <f t="shared" si="11"/>
        <v>9.624119258927168</v>
      </c>
      <c r="AQ46" s="61">
        <f t="shared" si="11"/>
        <v>9.37085296263961</v>
      </c>
      <c r="AR46" s="61">
        <f t="shared" si="11"/>
        <v>9.1175866663520537</v>
      </c>
      <c r="AS46" s="61">
        <f t="shared" ref="AS46:AY55" si="12">IF(AND(AS$4&gt;$E46,YEAR(AS$4)&lt;(YEAR($E46)+$I$16+1)),($I46*($I$16-YEAR(AS$4)+YEAR($E46)+1)/$I$34),0)</f>
        <v>8.8643203700644957</v>
      </c>
      <c r="AT46" s="89">
        <f t="shared" si="12"/>
        <v>8.6110540737769394</v>
      </c>
      <c r="AU46" s="96">
        <f t="shared" si="12"/>
        <v>8.3577877774893832</v>
      </c>
      <c r="AV46" s="61">
        <f t="shared" si="12"/>
        <v>8.1045214812018251</v>
      </c>
      <c r="AW46" s="61">
        <f t="shared" si="12"/>
        <v>7.8512551849142689</v>
      </c>
      <c r="AX46" s="61">
        <f t="shared" si="12"/>
        <v>7.5979888886267117</v>
      </c>
      <c r="AY46" s="61">
        <f t="shared" si="12"/>
        <v>7.3447225923391546</v>
      </c>
      <c r="BA46" s="116" t="str">
        <f t="shared" ca="1" si="8"/>
        <v>Depreciation</v>
      </c>
      <c r="BB46" s="1" t="str">
        <f t="shared" si="9"/>
        <v>Post-vesting sum of digits</v>
      </c>
    </row>
    <row r="47" spans="1:54">
      <c r="E47" s="68">
        <v>42094</v>
      </c>
      <c r="G47" s="68" t="str">
        <f t="shared" si="4"/>
        <v>£m 23/24 prices</v>
      </c>
      <c r="I47" s="38">
        <v>208.3748605321918</v>
      </c>
      <c r="J47" s="43" t="s">
        <v>10</v>
      </c>
      <c r="Y47" s="61">
        <f t="shared" si="10"/>
        <v>0</v>
      </c>
      <c r="Z47" s="61">
        <f t="shared" si="10"/>
        <v>0</v>
      </c>
      <c r="AA47" s="61">
        <f t="shared" si="10"/>
        <v>0</v>
      </c>
      <c r="AB47" s="61">
        <f t="shared" si="10"/>
        <v>0</v>
      </c>
      <c r="AC47" s="61">
        <f t="shared" si="10"/>
        <v>0</v>
      </c>
      <c r="AD47" s="61">
        <f t="shared" si="10"/>
        <v>0</v>
      </c>
      <c r="AE47" s="61">
        <f t="shared" si="10"/>
        <v>0</v>
      </c>
      <c r="AF47" s="61">
        <f t="shared" si="10"/>
        <v>0</v>
      </c>
      <c r="AG47" s="61">
        <f t="shared" si="10"/>
        <v>0</v>
      </c>
      <c r="AH47" s="61">
        <f t="shared" si="10"/>
        <v>0</v>
      </c>
      <c r="AI47" s="61">
        <f t="shared" si="11"/>
        <v>0</v>
      </c>
      <c r="AJ47" s="61">
        <f t="shared" si="11"/>
        <v>9.0597765448779057</v>
      </c>
      <c r="AK47" s="61">
        <f t="shared" si="11"/>
        <v>8.8584481772139512</v>
      </c>
      <c r="AL47" s="61">
        <f t="shared" si="11"/>
        <v>8.6571198095499984</v>
      </c>
      <c r="AM47" s="61">
        <f t="shared" si="11"/>
        <v>8.4557914418860438</v>
      </c>
      <c r="AN47" s="61">
        <f t="shared" si="11"/>
        <v>8.254463074222091</v>
      </c>
      <c r="AO47" s="61">
        <f t="shared" si="11"/>
        <v>8.0531347065581382</v>
      </c>
      <c r="AP47" s="61">
        <f t="shared" si="11"/>
        <v>7.8518063388941837</v>
      </c>
      <c r="AQ47" s="61">
        <f t="shared" si="11"/>
        <v>7.65047797123023</v>
      </c>
      <c r="AR47" s="61">
        <f t="shared" si="11"/>
        <v>7.4491496035662772</v>
      </c>
      <c r="AS47" s="61">
        <f t="shared" si="12"/>
        <v>7.2478212359023235</v>
      </c>
      <c r="AT47" s="89">
        <f t="shared" si="12"/>
        <v>7.0464928682383707</v>
      </c>
      <c r="AU47" s="96">
        <f t="shared" si="12"/>
        <v>6.8451645005744162</v>
      </c>
      <c r="AV47" s="61">
        <f t="shared" si="12"/>
        <v>6.6438361329104634</v>
      </c>
      <c r="AW47" s="61">
        <f t="shared" si="12"/>
        <v>6.4425077652465097</v>
      </c>
      <c r="AX47" s="61">
        <f t="shared" si="12"/>
        <v>6.2411793975825569</v>
      </c>
      <c r="AY47" s="61">
        <f t="shared" si="12"/>
        <v>6.0398510299186032</v>
      </c>
      <c r="BA47" s="116" t="str">
        <f t="shared" ca="1" si="8"/>
        <v>Depreciation</v>
      </c>
      <c r="BB47" s="1" t="str">
        <f t="shared" si="9"/>
        <v>Post-vesting sum of digits</v>
      </c>
    </row>
    <row r="48" spans="1:54">
      <c r="E48" s="68">
        <v>42460</v>
      </c>
      <c r="G48" s="68" t="str">
        <f t="shared" si="4"/>
        <v>£m 23/24 prices</v>
      </c>
      <c r="I48" s="38">
        <v>197.01125140359775</v>
      </c>
      <c r="J48" s="43" t="s">
        <v>10</v>
      </c>
      <c r="Y48" s="61">
        <f t="shared" si="10"/>
        <v>0</v>
      </c>
      <c r="Z48" s="61">
        <f t="shared" si="10"/>
        <v>0</v>
      </c>
      <c r="AA48" s="61">
        <f t="shared" si="10"/>
        <v>0</v>
      </c>
      <c r="AB48" s="61">
        <f t="shared" si="10"/>
        <v>0</v>
      </c>
      <c r="AC48" s="61">
        <f t="shared" si="10"/>
        <v>0</v>
      </c>
      <c r="AD48" s="61">
        <f t="shared" si="10"/>
        <v>0</v>
      </c>
      <c r="AE48" s="61">
        <f t="shared" si="10"/>
        <v>0</v>
      </c>
      <c r="AF48" s="61">
        <f t="shared" si="10"/>
        <v>0</v>
      </c>
      <c r="AG48" s="61">
        <f t="shared" si="10"/>
        <v>0</v>
      </c>
      <c r="AH48" s="61">
        <f t="shared" si="10"/>
        <v>0</v>
      </c>
      <c r="AI48" s="61">
        <f t="shared" si="11"/>
        <v>0</v>
      </c>
      <c r="AJ48" s="61">
        <f t="shared" si="11"/>
        <v>0</v>
      </c>
      <c r="AK48" s="61">
        <f t="shared" si="11"/>
        <v>8.5657065827651202</v>
      </c>
      <c r="AL48" s="61">
        <f t="shared" si="11"/>
        <v>8.3753575475925626</v>
      </c>
      <c r="AM48" s="61">
        <f t="shared" si="11"/>
        <v>8.1850085124200032</v>
      </c>
      <c r="AN48" s="61">
        <f t="shared" si="11"/>
        <v>7.9946594772474446</v>
      </c>
      <c r="AO48" s="61">
        <f t="shared" si="11"/>
        <v>7.804310442074887</v>
      </c>
      <c r="AP48" s="61">
        <f t="shared" si="11"/>
        <v>7.6139614069023285</v>
      </c>
      <c r="AQ48" s="61">
        <f t="shared" si="11"/>
        <v>7.4236123717297708</v>
      </c>
      <c r="AR48" s="61">
        <f t="shared" si="11"/>
        <v>7.2332633365572123</v>
      </c>
      <c r="AS48" s="61">
        <f t="shared" si="12"/>
        <v>7.0429143013846547</v>
      </c>
      <c r="AT48" s="89">
        <f t="shared" si="12"/>
        <v>6.8525652662120953</v>
      </c>
      <c r="AU48" s="96">
        <f t="shared" si="12"/>
        <v>6.6622162310395376</v>
      </c>
      <c r="AV48" s="61">
        <f t="shared" si="12"/>
        <v>6.4718671958669791</v>
      </c>
      <c r="AW48" s="61">
        <f t="shared" si="12"/>
        <v>6.2815181606944215</v>
      </c>
      <c r="AX48" s="61">
        <f t="shared" si="12"/>
        <v>6.091169125521863</v>
      </c>
      <c r="AY48" s="61">
        <f t="shared" si="12"/>
        <v>5.9008200903493044</v>
      </c>
      <c r="BA48" s="116" t="str">
        <f t="shared" ca="1" si="8"/>
        <v>Depreciation</v>
      </c>
      <c r="BB48" s="1" t="str">
        <f t="shared" si="9"/>
        <v>Post-vesting sum of digits</v>
      </c>
    </row>
    <row r="49" spans="5:54">
      <c r="E49" s="68">
        <v>42825</v>
      </c>
      <c r="G49" s="68" t="str">
        <f t="shared" si="4"/>
        <v>£m 23/24 prices</v>
      </c>
      <c r="I49" s="38">
        <v>222.94979360206582</v>
      </c>
      <c r="J49" s="43" t="s">
        <v>10</v>
      </c>
      <c r="Y49" s="61">
        <f t="shared" si="10"/>
        <v>0</v>
      </c>
      <c r="Z49" s="61">
        <f t="shared" si="10"/>
        <v>0</v>
      </c>
      <c r="AA49" s="61">
        <f t="shared" si="10"/>
        <v>0</v>
      </c>
      <c r="AB49" s="61">
        <f t="shared" si="10"/>
        <v>0</v>
      </c>
      <c r="AC49" s="61">
        <f t="shared" si="10"/>
        <v>0</v>
      </c>
      <c r="AD49" s="61">
        <f t="shared" si="10"/>
        <v>0</v>
      </c>
      <c r="AE49" s="61">
        <f t="shared" si="10"/>
        <v>0</v>
      </c>
      <c r="AF49" s="61">
        <f t="shared" si="10"/>
        <v>0</v>
      </c>
      <c r="AG49" s="61">
        <f t="shared" si="10"/>
        <v>0</v>
      </c>
      <c r="AH49" s="61">
        <f t="shared" si="10"/>
        <v>0</v>
      </c>
      <c r="AI49" s="61">
        <f t="shared" si="11"/>
        <v>0</v>
      </c>
      <c r="AJ49" s="61">
        <f t="shared" si="11"/>
        <v>0</v>
      </c>
      <c r="AK49" s="61">
        <f t="shared" si="11"/>
        <v>0</v>
      </c>
      <c r="AL49" s="61">
        <f t="shared" si="11"/>
        <v>9.6934692870463408</v>
      </c>
      <c r="AM49" s="61">
        <f t="shared" si="11"/>
        <v>9.4780588584453103</v>
      </c>
      <c r="AN49" s="61">
        <f t="shared" si="11"/>
        <v>9.2626484298442797</v>
      </c>
      <c r="AO49" s="61">
        <f t="shared" si="11"/>
        <v>9.0472380012432509</v>
      </c>
      <c r="AP49" s="61">
        <f t="shared" si="11"/>
        <v>8.8318275726422222</v>
      </c>
      <c r="AQ49" s="61">
        <f t="shared" si="11"/>
        <v>8.6164171440411899</v>
      </c>
      <c r="AR49" s="61">
        <f t="shared" si="11"/>
        <v>8.4010067154401611</v>
      </c>
      <c r="AS49" s="61">
        <f t="shared" si="12"/>
        <v>8.1855962868391323</v>
      </c>
      <c r="AT49" s="89">
        <f t="shared" si="12"/>
        <v>7.9701858582381027</v>
      </c>
      <c r="AU49" s="96">
        <f t="shared" si="12"/>
        <v>7.7547754296370721</v>
      </c>
      <c r="AV49" s="61">
        <f t="shared" si="12"/>
        <v>7.5393650010360425</v>
      </c>
      <c r="AW49" s="61">
        <f t="shared" si="12"/>
        <v>7.3239545724350128</v>
      </c>
      <c r="AX49" s="61">
        <f t="shared" si="12"/>
        <v>7.1085441438339831</v>
      </c>
      <c r="AY49" s="61">
        <f t="shared" si="12"/>
        <v>6.8931337152329526</v>
      </c>
      <c r="BA49" s="116" t="str">
        <f t="shared" ca="1" si="8"/>
        <v>Depreciation</v>
      </c>
      <c r="BB49" s="1" t="str">
        <f t="shared" si="9"/>
        <v>Post-vesting sum of digits</v>
      </c>
    </row>
    <row r="50" spans="5:54">
      <c r="E50" s="68">
        <v>43190</v>
      </c>
      <c r="G50" s="68" t="str">
        <f t="shared" si="4"/>
        <v>£m 23/24 prices</v>
      </c>
      <c r="I50" s="38">
        <v>283.53902493160496</v>
      </c>
      <c r="J50" s="43" t="s">
        <v>10</v>
      </c>
      <c r="Y50" s="61">
        <f t="shared" si="10"/>
        <v>0</v>
      </c>
      <c r="Z50" s="61">
        <f t="shared" si="10"/>
        <v>0</v>
      </c>
      <c r="AA50" s="61">
        <f t="shared" si="10"/>
        <v>0</v>
      </c>
      <c r="AB50" s="61">
        <f t="shared" si="10"/>
        <v>0</v>
      </c>
      <c r="AC50" s="61">
        <f t="shared" si="10"/>
        <v>0</v>
      </c>
      <c r="AD50" s="61">
        <f t="shared" si="10"/>
        <v>0</v>
      </c>
      <c r="AE50" s="61">
        <f t="shared" si="10"/>
        <v>0</v>
      </c>
      <c r="AF50" s="61">
        <f t="shared" si="10"/>
        <v>0</v>
      </c>
      <c r="AG50" s="61">
        <f t="shared" si="10"/>
        <v>0</v>
      </c>
      <c r="AH50" s="61">
        <f t="shared" si="10"/>
        <v>0</v>
      </c>
      <c r="AI50" s="61">
        <f t="shared" si="11"/>
        <v>0</v>
      </c>
      <c r="AJ50" s="61">
        <f t="shared" si="11"/>
        <v>0</v>
      </c>
      <c r="AK50" s="61">
        <f t="shared" si="11"/>
        <v>0</v>
      </c>
      <c r="AL50" s="61">
        <f t="shared" si="11"/>
        <v>0</v>
      </c>
      <c r="AM50" s="61">
        <f t="shared" si="11"/>
        <v>12.327783692678477</v>
      </c>
      <c r="AN50" s="61">
        <f t="shared" si="11"/>
        <v>12.053832943952289</v>
      </c>
      <c r="AO50" s="61">
        <f t="shared" si="11"/>
        <v>11.779882195226099</v>
      </c>
      <c r="AP50" s="61">
        <f t="shared" si="11"/>
        <v>11.505931446499911</v>
      </c>
      <c r="AQ50" s="61">
        <f t="shared" si="11"/>
        <v>11.231980697773723</v>
      </c>
      <c r="AR50" s="61">
        <f t="shared" si="11"/>
        <v>10.958029949047534</v>
      </c>
      <c r="AS50" s="61">
        <f t="shared" si="12"/>
        <v>10.684079200321346</v>
      </c>
      <c r="AT50" s="89">
        <f t="shared" si="12"/>
        <v>10.410128451595156</v>
      </c>
      <c r="AU50" s="96">
        <f t="shared" si="12"/>
        <v>10.13617770286897</v>
      </c>
      <c r="AV50" s="61">
        <f t="shared" si="12"/>
        <v>9.8622269541427823</v>
      </c>
      <c r="AW50" s="61">
        <f t="shared" si="12"/>
        <v>9.5882762054165926</v>
      </c>
      <c r="AX50" s="61">
        <f t="shared" si="12"/>
        <v>9.3143254566904048</v>
      </c>
      <c r="AY50" s="61">
        <f t="shared" si="12"/>
        <v>9.0403747079642152</v>
      </c>
      <c r="BA50" s="116" t="str">
        <f t="shared" ca="1" si="8"/>
        <v>Depreciation</v>
      </c>
      <c r="BB50" s="1" t="str">
        <f t="shared" si="9"/>
        <v>Post-vesting sum of digits</v>
      </c>
    </row>
    <row r="51" spans="5:54">
      <c r="E51" s="68">
        <v>43555</v>
      </c>
      <c r="G51" s="68" t="str">
        <f t="shared" si="4"/>
        <v>£m 23/24 prices</v>
      </c>
      <c r="I51" s="38">
        <v>255.40883536878235</v>
      </c>
      <c r="J51" s="43" t="s">
        <v>10</v>
      </c>
      <c r="Y51" s="61">
        <f t="shared" si="10"/>
        <v>0</v>
      </c>
      <c r="Z51" s="61">
        <f t="shared" si="10"/>
        <v>0</v>
      </c>
      <c r="AA51" s="61">
        <f t="shared" si="10"/>
        <v>0</v>
      </c>
      <c r="AB51" s="61">
        <f t="shared" si="10"/>
        <v>0</v>
      </c>
      <c r="AC51" s="61">
        <f t="shared" si="10"/>
        <v>0</v>
      </c>
      <c r="AD51" s="61">
        <f t="shared" si="10"/>
        <v>0</v>
      </c>
      <c r="AE51" s="61">
        <f t="shared" si="10"/>
        <v>0</v>
      </c>
      <c r="AF51" s="61">
        <f t="shared" si="10"/>
        <v>0</v>
      </c>
      <c r="AG51" s="61">
        <f t="shared" si="10"/>
        <v>0</v>
      </c>
      <c r="AH51" s="61">
        <f t="shared" si="10"/>
        <v>0</v>
      </c>
      <c r="AI51" s="61">
        <f t="shared" si="11"/>
        <v>0</v>
      </c>
      <c r="AJ51" s="61">
        <f t="shared" si="11"/>
        <v>0</v>
      </c>
      <c r="AK51" s="61">
        <f t="shared" si="11"/>
        <v>0</v>
      </c>
      <c r="AL51" s="61">
        <f t="shared" si="11"/>
        <v>0</v>
      </c>
      <c r="AM51" s="61">
        <f t="shared" si="11"/>
        <v>0</v>
      </c>
      <c r="AN51" s="61">
        <f t="shared" si="11"/>
        <v>11.104731972555754</v>
      </c>
      <c r="AO51" s="61">
        <f t="shared" si="11"/>
        <v>10.857960150943404</v>
      </c>
      <c r="AP51" s="61">
        <f t="shared" si="11"/>
        <v>10.611188329331053</v>
      </c>
      <c r="AQ51" s="61">
        <f t="shared" si="11"/>
        <v>10.364416507718705</v>
      </c>
      <c r="AR51" s="61">
        <f t="shared" si="11"/>
        <v>10.117644686106354</v>
      </c>
      <c r="AS51" s="61">
        <f t="shared" si="12"/>
        <v>9.8708728644940038</v>
      </c>
      <c r="AT51" s="89">
        <f t="shared" si="12"/>
        <v>9.6241010428816534</v>
      </c>
      <c r="AU51" s="96">
        <f t="shared" si="12"/>
        <v>9.3773292212693029</v>
      </c>
      <c r="AV51" s="61">
        <f t="shared" si="12"/>
        <v>9.1305573996569525</v>
      </c>
      <c r="AW51" s="61">
        <f t="shared" si="12"/>
        <v>8.8837855780446038</v>
      </c>
      <c r="AX51" s="61">
        <f t="shared" si="12"/>
        <v>8.6370137564322533</v>
      </c>
      <c r="AY51" s="61">
        <f t="shared" si="12"/>
        <v>8.3902419348199029</v>
      </c>
      <c r="BA51" s="116" t="str">
        <f t="shared" ca="1" si="8"/>
        <v>Depreciation</v>
      </c>
      <c r="BB51" s="1" t="str">
        <f t="shared" si="9"/>
        <v>Post-vesting sum of digits</v>
      </c>
    </row>
    <row r="52" spans="5:54">
      <c r="E52" s="68">
        <v>43921</v>
      </c>
      <c r="G52" s="68" t="str">
        <f t="shared" si="4"/>
        <v>£m 23/24 prices</v>
      </c>
      <c r="I52" s="38">
        <v>215.81535000502981</v>
      </c>
      <c r="J52" s="43" t="s">
        <v>10</v>
      </c>
      <c r="Y52" s="61">
        <f t="shared" si="10"/>
        <v>0</v>
      </c>
      <c r="Z52" s="61">
        <f t="shared" si="10"/>
        <v>0</v>
      </c>
      <c r="AA52" s="61">
        <f t="shared" si="10"/>
        <v>0</v>
      </c>
      <c r="AB52" s="61">
        <f t="shared" si="10"/>
        <v>0</v>
      </c>
      <c r="AC52" s="61">
        <f t="shared" si="10"/>
        <v>0</v>
      </c>
      <c r="AD52" s="61">
        <f t="shared" si="10"/>
        <v>0</v>
      </c>
      <c r="AE52" s="61">
        <f t="shared" si="10"/>
        <v>0</v>
      </c>
      <c r="AF52" s="61">
        <f t="shared" si="10"/>
        <v>0</v>
      </c>
      <c r="AG52" s="61">
        <f t="shared" si="10"/>
        <v>0</v>
      </c>
      <c r="AH52" s="61">
        <f t="shared" si="10"/>
        <v>0</v>
      </c>
      <c r="AI52" s="61">
        <f t="shared" si="11"/>
        <v>0</v>
      </c>
      <c r="AJ52" s="61">
        <f t="shared" si="11"/>
        <v>0</v>
      </c>
      <c r="AK52" s="61">
        <f t="shared" si="11"/>
        <v>0</v>
      </c>
      <c r="AL52" s="61">
        <f t="shared" si="11"/>
        <v>0</v>
      </c>
      <c r="AM52" s="61">
        <f t="shared" si="11"/>
        <v>0</v>
      </c>
      <c r="AN52" s="61">
        <f t="shared" si="11"/>
        <v>0</v>
      </c>
      <c r="AO52" s="61">
        <f t="shared" si="11"/>
        <v>9.3832760871752097</v>
      </c>
      <c r="AP52" s="61">
        <f t="shared" si="11"/>
        <v>9.1747588407935385</v>
      </c>
      <c r="AQ52" s="61">
        <f t="shared" si="11"/>
        <v>8.9662415944118656</v>
      </c>
      <c r="AR52" s="61">
        <f t="shared" si="11"/>
        <v>8.7577243480301963</v>
      </c>
      <c r="AS52" s="61">
        <f t="shared" si="12"/>
        <v>8.5492071016485252</v>
      </c>
      <c r="AT52" s="89">
        <f t="shared" si="12"/>
        <v>8.3406898552668522</v>
      </c>
      <c r="AU52" s="96">
        <f t="shared" si="12"/>
        <v>8.1321726088851811</v>
      </c>
      <c r="AV52" s="61">
        <f t="shared" si="12"/>
        <v>7.9236553625035091</v>
      </c>
      <c r="AW52" s="61">
        <f t="shared" si="12"/>
        <v>7.7151381161218389</v>
      </c>
      <c r="AX52" s="61">
        <f t="shared" si="12"/>
        <v>7.5066208697401677</v>
      </c>
      <c r="AY52" s="61">
        <f t="shared" si="12"/>
        <v>7.2981036233584957</v>
      </c>
      <c r="BA52" s="116" t="str">
        <f t="shared" ca="1" si="8"/>
        <v>Depreciation</v>
      </c>
      <c r="BB52" s="1" t="str">
        <f t="shared" si="9"/>
        <v>Post-vesting sum of digits</v>
      </c>
    </row>
    <row r="53" spans="5:54">
      <c r="E53" s="68">
        <v>44286</v>
      </c>
      <c r="G53" s="68" t="str">
        <f t="shared" si="4"/>
        <v>£m 23/24 prices</v>
      </c>
      <c r="I53" s="38">
        <v>179.7363984175511</v>
      </c>
      <c r="J53" s="43" t="s">
        <v>10</v>
      </c>
      <c r="Y53" s="61">
        <f t="shared" si="10"/>
        <v>0</v>
      </c>
      <c r="Z53" s="61">
        <f t="shared" si="10"/>
        <v>0</v>
      </c>
      <c r="AA53" s="61">
        <f t="shared" si="10"/>
        <v>0</v>
      </c>
      <c r="AB53" s="61">
        <f t="shared" si="10"/>
        <v>0</v>
      </c>
      <c r="AC53" s="61">
        <f t="shared" si="10"/>
        <v>0</v>
      </c>
      <c r="AD53" s="61">
        <f t="shared" si="10"/>
        <v>0</v>
      </c>
      <c r="AE53" s="61">
        <f t="shared" si="10"/>
        <v>0</v>
      </c>
      <c r="AF53" s="61">
        <f t="shared" si="10"/>
        <v>0</v>
      </c>
      <c r="AG53" s="61">
        <f t="shared" si="10"/>
        <v>0</v>
      </c>
      <c r="AH53" s="61">
        <f t="shared" si="10"/>
        <v>0</v>
      </c>
      <c r="AI53" s="61">
        <f t="shared" si="11"/>
        <v>0</v>
      </c>
      <c r="AJ53" s="61">
        <f t="shared" si="11"/>
        <v>0</v>
      </c>
      <c r="AK53" s="61">
        <f t="shared" si="11"/>
        <v>0</v>
      </c>
      <c r="AL53" s="61">
        <f t="shared" si="11"/>
        <v>0</v>
      </c>
      <c r="AM53" s="61">
        <f t="shared" si="11"/>
        <v>0</v>
      </c>
      <c r="AN53" s="61">
        <f t="shared" si="11"/>
        <v>0</v>
      </c>
      <c r="AO53" s="61">
        <f t="shared" si="11"/>
        <v>0</v>
      </c>
      <c r="AP53" s="61">
        <f t="shared" si="11"/>
        <v>7.8146260181543958</v>
      </c>
      <c r="AQ53" s="61">
        <f t="shared" si="11"/>
        <v>7.6409676621954086</v>
      </c>
      <c r="AR53" s="61">
        <f t="shared" si="11"/>
        <v>7.4673093062364222</v>
      </c>
      <c r="AS53" s="61">
        <f t="shared" si="12"/>
        <v>7.2936509502774358</v>
      </c>
      <c r="AT53" s="89">
        <f t="shared" si="12"/>
        <v>7.1199925943184494</v>
      </c>
      <c r="AU53" s="96">
        <f t="shared" si="12"/>
        <v>6.9463342383594622</v>
      </c>
      <c r="AV53" s="61">
        <f t="shared" si="12"/>
        <v>6.7726758824004767</v>
      </c>
      <c r="AW53" s="61">
        <f t="shared" si="12"/>
        <v>6.5990175264414903</v>
      </c>
      <c r="AX53" s="61">
        <f t="shared" si="12"/>
        <v>6.425359170482503</v>
      </c>
      <c r="AY53" s="61">
        <f t="shared" si="12"/>
        <v>6.2517008145235167</v>
      </c>
      <c r="BA53" s="116" t="str">
        <f t="shared" ca="1" si="8"/>
        <v>Depreciation</v>
      </c>
      <c r="BB53" s="1" t="str">
        <f t="shared" si="9"/>
        <v>Post-vesting sum of digits</v>
      </c>
    </row>
    <row r="54" spans="5:54">
      <c r="E54" s="68">
        <v>44651</v>
      </c>
      <c r="G54" s="68" t="str">
        <f t="shared" si="4"/>
        <v>£m 23/24 prices</v>
      </c>
      <c r="I54" s="38">
        <v>245.42931155302847</v>
      </c>
      <c r="J54" s="43" t="s">
        <v>10</v>
      </c>
      <c r="Y54" s="61">
        <f t="shared" si="10"/>
        <v>0</v>
      </c>
      <c r="Z54" s="61">
        <f t="shared" si="10"/>
        <v>0</v>
      </c>
      <c r="AA54" s="61">
        <f t="shared" si="10"/>
        <v>0</v>
      </c>
      <c r="AB54" s="61">
        <f t="shared" si="10"/>
        <v>0</v>
      </c>
      <c r="AC54" s="61">
        <f t="shared" si="10"/>
        <v>0</v>
      </c>
      <c r="AD54" s="61">
        <f t="shared" si="10"/>
        <v>0</v>
      </c>
      <c r="AE54" s="61">
        <f t="shared" si="10"/>
        <v>0</v>
      </c>
      <c r="AF54" s="61">
        <f t="shared" si="10"/>
        <v>0</v>
      </c>
      <c r="AG54" s="61">
        <f t="shared" si="10"/>
        <v>0</v>
      </c>
      <c r="AH54" s="61">
        <f t="shared" si="10"/>
        <v>0</v>
      </c>
      <c r="AI54" s="61">
        <f t="shared" si="11"/>
        <v>0</v>
      </c>
      <c r="AJ54" s="61">
        <f t="shared" si="11"/>
        <v>0</v>
      </c>
      <c r="AK54" s="61">
        <f t="shared" si="11"/>
        <v>0</v>
      </c>
      <c r="AL54" s="61">
        <f t="shared" si="11"/>
        <v>0</v>
      </c>
      <c r="AM54" s="61">
        <f t="shared" si="11"/>
        <v>0</v>
      </c>
      <c r="AN54" s="61">
        <f t="shared" si="11"/>
        <v>0</v>
      </c>
      <c r="AO54" s="61">
        <f t="shared" si="11"/>
        <v>0</v>
      </c>
      <c r="AP54" s="61">
        <f t="shared" si="11"/>
        <v>0</v>
      </c>
      <c r="AQ54" s="61">
        <f t="shared" si="11"/>
        <v>10.670839632740368</v>
      </c>
      <c r="AR54" s="61">
        <f t="shared" si="11"/>
        <v>10.433709863123916</v>
      </c>
      <c r="AS54" s="61">
        <f t="shared" si="12"/>
        <v>10.196580093507464</v>
      </c>
      <c r="AT54" s="89">
        <f t="shared" si="12"/>
        <v>9.9594503238910104</v>
      </c>
      <c r="AU54" s="96">
        <f t="shared" si="12"/>
        <v>9.7223205542745568</v>
      </c>
      <c r="AV54" s="61">
        <f t="shared" si="12"/>
        <v>9.4851907846581067</v>
      </c>
      <c r="AW54" s="61">
        <f t="shared" si="12"/>
        <v>9.2480610150416531</v>
      </c>
      <c r="AX54" s="61">
        <f t="shared" si="12"/>
        <v>9.0109312454251995</v>
      </c>
      <c r="AY54" s="61">
        <f t="shared" si="12"/>
        <v>8.7738014758087459</v>
      </c>
      <c r="BA54" s="116" t="str">
        <f t="shared" ca="1" si="8"/>
        <v>Depreciation</v>
      </c>
      <c r="BB54" s="1" t="str">
        <f t="shared" si="9"/>
        <v>Post-vesting sum of digits</v>
      </c>
    </row>
    <row r="55" spans="5:54">
      <c r="E55" s="68">
        <v>45016</v>
      </c>
      <c r="G55" s="68" t="str">
        <f t="shared" si="4"/>
        <v>£m 23/24 prices</v>
      </c>
      <c r="I55" s="38">
        <v>301.12844749196552</v>
      </c>
      <c r="J55" s="43" t="s">
        <v>10</v>
      </c>
      <c r="Y55" s="61">
        <f t="shared" si="10"/>
        <v>0</v>
      </c>
      <c r="Z55" s="61">
        <f t="shared" si="10"/>
        <v>0</v>
      </c>
      <c r="AA55" s="61">
        <f t="shared" si="10"/>
        <v>0</v>
      </c>
      <c r="AB55" s="61">
        <f t="shared" si="10"/>
        <v>0</v>
      </c>
      <c r="AC55" s="61">
        <f t="shared" si="10"/>
        <v>0</v>
      </c>
      <c r="AD55" s="61">
        <f t="shared" si="10"/>
        <v>0</v>
      </c>
      <c r="AE55" s="61">
        <f t="shared" si="10"/>
        <v>0</v>
      </c>
      <c r="AF55" s="61">
        <f t="shared" si="10"/>
        <v>0</v>
      </c>
      <c r="AG55" s="61">
        <f t="shared" si="10"/>
        <v>0</v>
      </c>
      <c r="AH55" s="61">
        <f t="shared" si="10"/>
        <v>0</v>
      </c>
      <c r="AI55" s="61">
        <f t="shared" si="11"/>
        <v>0</v>
      </c>
      <c r="AJ55" s="61">
        <f t="shared" si="11"/>
        <v>0</v>
      </c>
      <c r="AK55" s="61">
        <f t="shared" si="11"/>
        <v>0</v>
      </c>
      <c r="AL55" s="61">
        <f t="shared" si="11"/>
        <v>0</v>
      </c>
      <c r="AM55" s="61">
        <f t="shared" si="11"/>
        <v>0</v>
      </c>
      <c r="AN55" s="61">
        <f t="shared" si="11"/>
        <v>0</v>
      </c>
      <c r="AO55" s="61">
        <f t="shared" si="11"/>
        <v>0</v>
      </c>
      <c r="AP55" s="61">
        <f t="shared" si="11"/>
        <v>0</v>
      </c>
      <c r="AQ55" s="61">
        <f t="shared" si="11"/>
        <v>0</v>
      </c>
      <c r="AR55" s="61">
        <f t="shared" si="11"/>
        <v>13.092541195302848</v>
      </c>
      <c r="AS55" s="61">
        <f t="shared" si="12"/>
        <v>12.801595835407229</v>
      </c>
      <c r="AT55" s="89">
        <f t="shared" si="12"/>
        <v>12.510650475511611</v>
      </c>
      <c r="AU55" s="96">
        <f t="shared" si="12"/>
        <v>12.219705115615993</v>
      </c>
      <c r="AV55" s="61">
        <f t="shared" si="12"/>
        <v>11.928759755720373</v>
      </c>
      <c r="AW55" s="61">
        <f t="shared" si="12"/>
        <v>11.637814395824755</v>
      </c>
      <c r="AX55" s="61">
        <f t="shared" si="12"/>
        <v>11.346869035929137</v>
      </c>
      <c r="AY55" s="61">
        <f t="shared" si="12"/>
        <v>11.055923676033515</v>
      </c>
      <c r="BA55" s="116" t="str">
        <f t="shared" ca="1" si="8"/>
        <v>Depreciation</v>
      </c>
      <c r="BB55" s="1" t="str">
        <f t="shared" si="9"/>
        <v>Post-vesting sum of digits</v>
      </c>
    </row>
    <row r="56" spans="5:54">
      <c r="E56" s="68">
        <v>45382</v>
      </c>
      <c r="G56" s="68" t="str">
        <f t="shared" si="4"/>
        <v>£m 23/24 prices</v>
      </c>
      <c r="I56" s="38">
        <v>345.04101302096547</v>
      </c>
      <c r="J56" s="43" t="s">
        <v>10</v>
      </c>
      <c r="Y56" s="61">
        <f t="shared" ref="Y56:AH63" si="13">IF(AND(Y$4&gt;$E56,YEAR(Y$4)&lt;(YEAR($E56)+$I$16+1)),($I56*($I$16-YEAR(Y$4)+YEAR($E56)+1)/$I$34),0)</f>
        <v>0</v>
      </c>
      <c r="Z56" s="61">
        <f t="shared" si="13"/>
        <v>0</v>
      </c>
      <c r="AA56" s="61">
        <f t="shared" si="13"/>
        <v>0</v>
      </c>
      <c r="AB56" s="61">
        <f t="shared" si="13"/>
        <v>0</v>
      </c>
      <c r="AC56" s="61">
        <f t="shared" si="13"/>
        <v>0</v>
      </c>
      <c r="AD56" s="61">
        <f t="shared" si="13"/>
        <v>0</v>
      </c>
      <c r="AE56" s="61">
        <f t="shared" si="13"/>
        <v>0</v>
      </c>
      <c r="AF56" s="61">
        <f t="shared" si="13"/>
        <v>0</v>
      </c>
      <c r="AG56" s="61">
        <f t="shared" si="13"/>
        <v>0</v>
      </c>
      <c r="AH56" s="61">
        <f t="shared" si="13"/>
        <v>0</v>
      </c>
      <c r="AI56" s="61">
        <f t="shared" ref="AI56:AR63" si="14">IF(AND(AI$4&gt;$E56,YEAR(AI$4)&lt;(YEAR($E56)+$I$16+1)),($I56*($I$16-YEAR(AI$4)+YEAR($E56)+1)/$I$34),0)</f>
        <v>0</v>
      </c>
      <c r="AJ56" s="61">
        <f t="shared" si="14"/>
        <v>0</v>
      </c>
      <c r="AK56" s="61">
        <f t="shared" si="14"/>
        <v>0</v>
      </c>
      <c r="AL56" s="61">
        <f t="shared" si="14"/>
        <v>0</v>
      </c>
      <c r="AM56" s="61">
        <f t="shared" si="14"/>
        <v>0</v>
      </c>
      <c r="AN56" s="61">
        <f t="shared" si="14"/>
        <v>0</v>
      </c>
      <c r="AO56" s="61">
        <f t="shared" si="14"/>
        <v>0</v>
      </c>
      <c r="AP56" s="61">
        <f t="shared" si="14"/>
        <v>0</v>
      </c>
      <c r="AQ56" s="61">
        <f t="shared" si="14"/>
        <v>0</v>
      </c>
      <c r="AR56" s="61">
        <f t="shared" si="14"/>
        <v>0</v>
      </c>
      <c r="AS56" s="61">
        <f t="shared" ref="AS56:AY63" si="15">IF(AND(AS$4&gt;$E56,YEAR(AS$4)&lt;(YEAR($E56)+$I$16+1)),($I56*($I$16-YEAR(AS$4)+YEAR($E56)+1)/$I$34),0)</f>
        <v>15.001783174824585</v>
      </c>
      <c r="AT56" s="89">
        <f t="shared" si="15"/>
        <v>14.668410215384037</v>
      </c>
      <c r="AU56" s="96">
        <f t="shared" si="15"/>
        <v>14.335037255943494</v>
      </c>
      <c r="AV56" s="61">
        <f t="shared" si="15"/>
        <v>14.001664296502947</v>
      </c>
      <c r="AW56" s="61">
        <f t="shared" si="15"/>
        <v>13.668291337062401</v>
      </c>
      <c r="AX56" s="61">
        <f t="shared" si="15"/>
        <v>13.334918377621854</v>
      </c>
      <c r="AY56" s="61">
        <f t="shared" si="15"/>
        <v>13.001545418181307</v>
      </c>
      <c r="BA56" s="116" t="str">
        <f t="shared" ca="1" si="8"/>
        <v>Depreciation</v>
      </c>
      <c r="BB56" s="1" t="str">
        <f t="shared" si="9"/>
        <v>Post-vesting sum of digits</v>
      </c>
    </row>
    <row r="57" spans="5:54">
      <c r="E57" s="68">
        <v>45747</v>
      </c>
      <c r="G57" s="68" t="str">
        <f t="shared" si="4"/>
        <v>£m 23/24 prices</v>
      </c>
      <c r="I57" s="38">
        <v>422.9336722196291</v>
      </c>
      <c r="J57" s="43" t="s">
        <v>10</v>
      </c>
      <c r="Y57" s="61">
        <f t="shared" si="13"/>
        <v>0</v>
      </c>
      <c r="Z57" s="61">
        <f t="shared" si="13"/>
        <v>0</v>
      </c>
      <c r="AA57" s="61">
        <f t="shared" si="13"/>
        <v>0</v>
      </c>
      <c r="AB57" s="61">
        <f t="shared" si="13"/>
        <v>0</v>
      </c>
      <c r="AC57" s="61">
        <f t="shared" si="13"/>
        <v>0</v>
      </c>
      <c r="AD57" s="61">
        <f t="shared" si="13"/>
        <v>0</v>
      </c>
      <c r="AE57" s="61">
        <f t="shared" si="13"/>
        <v>0</v>
      </c>
      <c r="AF57" s="61">
        <f t="shared" si="13"/>
        <v>0</v>
      </c>
      <c r="AG57" s="61">
        <f t="shared" si="13"/>
        <v>0</v>
      </c>
      <c r="AH57" s="61">
        <f t="shared" si="13"/>
        <v>0</v>
      </c>
      <c r="AI57" s="61">
        <f t="shared" si="14"/>
        <v>0</v>
      </c>
      <c r="AJ57" s="61">
        <f t="shared" si="14"/>
        <v>0</v>
      </c>
      <c r="AK57" s="61">
        <f t="shared" si="14"/>
        <v>0</v>
      </c>
      <c r="AL57" s="61">
        <f t="shared" si="14"/>
        <v>0</v>
      </c>
      <c r="AM57" s="61">
        <f t="shared" si="14"/>
        <v>0</v>
      </c>
      <c r="AN57" s="61">
        <f t="shared" si="14"/>
        <v>0</v>
      </c>
      <c r="AO57" s="61">
        <f t="shared" si="14"/>
        <v>0</v>
      </c>
      <c r="AP57" s="61">
        <f t="shared" si="14"/>
        <v>0</v>
      </c>
      <c r="AQ57" s="61">
        <f t="shared" si="14"/>
        <v>0</v>
      </c>
      <c r="AR57" s="61">
        <f t="shared" si="14"/>
        <v>0</v>
      </c>
      <c r="AS57" s="61">
        <f t="shared" si="15"/>
        <v>0</v>
      </c>
      <c r="AT57" s="89">
        <f t="shared" si="15"/>
        <v>18.388420531288222</v>
      </c>
      <c r="AU57" s="96">
        <f t="shared" si="15"/>
        <v>17.979788963926261</v>
      </c>
      <c r="AV57" s="61">
        <f t="shared" si="15"/>
        <v>17.571157396564299</v>
      </c>
      <c r="AW57" s="61">
        <f t="shared" si="15"/>
        <v>17.162525829202341</v>
      </c>
      <c r="AX57" s="61">
        <f t="shared" si="15"/>
        <v>16.753894261840379</v>
      </c>
      <c r="AY57" s="61">
        <f t="shared" si="15"/>
        <v>16.345262694478418</v>
      </c>
      <c r="BA57" s="116" t="str">
        <f t="shared" ca="1" si="8"/>
        <v>Depreciation</v>
      </c>
      <c r="BB57" s="1" t="str">
        <f t="shared" si="9"/>
        <v>Post-vesting sum of digits</v>
      </c>
    </row>
    <row r="58" spans="5:54">
      <c r="E58" s="68">
        <v>46112</v>
      </c>
      <c r="G58" s="68" t="str">
        <f t="shared" si="4"/>
        <v>£m 23/24 prices</v>
      </c>
      <c r="I58" s="38">
        <v>562.17788436111846</v>
      </c>
      <c r="J58" s="43" t="s">
        <v>10</v>
      </c>
      <c r="Y58" s="61">
        <f t="shared" si="13"/>
        <v>0</v>
      </c>
      <c r="Z58" s="61">
        <f t="shared" si="13"/>
        <v>0</v>
      </c>
      <c r="AA58" s="61">
        <f t="shared" si="13"/>
        <v>0</v>
      </c>
      <c r="AB58" s="61">
        <f t="shared" si="13"/>
        <v>0</v>
      </c>
      <c r="AC58" s="61">
        <f t="shared" si="13"/>
        <v>0</v>
      </c>
      <c r="AD58" s="61">
        <f t="shared" si="13"/>
        <v>0</v>
      </c>
      <c r="AE58" s="61">
        <f t="shared" si="13"/>
        <v>0</v>
      </c>
      <c r="AF58" s="61">
        <f t="shared" si="13"/>
        <v>0</v>
      </c>
      <c r="AG58" s="61">
        <f t="shared" si="13"/>
        <v>0</v>
      </c>
      <c r="AH58" s="61">
        <f t="shared" si="13"/>
        <v>0</v>
      </c>
      <c r="AI58" s="61">
        <f t="shared" si="14"/>
        <v>0</v>
      </c>
      <c r="AJ58" s="61">
        <f t="shared" si="14"/>
        <v>0</v>
      </c>
      <c r="AK58" s="61">
        <f t="shared" si="14"/>
        <v>0</v>
      </c>
      <c r="AL58" s="61">
        <f t="shared" si="14"/>
        <v>0</v>
      </c>
      <c r="AM58" s="61">
        <f t="shared" si="14"/>
        <v>0</v>
      </c>
      <c r="AN58" s="61">
        <f t="shared" si="14"/>
        <v>0</v>
      </c>
      <c r="AO58" s="61">
        <f t="shared" si="14"/>
        <v>0</v>
      </c>
      <c r="AP58" s="61">
        <f t="shared" si="14"/>
        <v>0</v>
      </c>
      <c r="AQ58" s="61">
        <f t="shared" si="14"/>
        <v>0</v>
      </c>
      <c r="AR58" s="61">
        <f t="shared" si="14"/>
        <v>0</v>
      </c>
      <c r="AS58" s="61">
        <f t="shared" si="15"/>
        <v>0</v>
      </c>
      <c r="AT58" s="89">
        <f t="shared" si="15"/>
        <v>0</v>
      </c>
      <c r="AU58" s="96">
        <f t="shared" si="15"/>
        <v>24.442516711352976</v>
      </c>
      <c r="AV58" s="61">
        <f t="shared" si="15"/>
        <v>23.899349673322913</v>
      </c>
      <c r="AW58" s="61">
        <f t="shared" si="15"/>
        <v>23.356182635292843</v>
      </c>
      <c r="AX58" s="61">
        <f t="shared" si="15"/>
        <v>22.813015597262776</v>
      </c>
      <c r="AY58" s="61">
        <f t="shared" si="15"/>
        <v>22.269848559232713</v>
      </c>
      <c r="BA58" s="116" t="str">
        <f t="shared" ca="1" si="8"/>
        <v>Depreciation</v>
      </c>
      <c r="BB58" s="1" t="str">
        <f t="shared" si="9"/>
        <v>Post-vesting sum of digits</v>
      </c>
    </row>
    <row r="59" spans="5:54">
      <c r="E59" s="68">
        <v>46477</v>
      </c>
      <c r="G59" t="str">
        <f t="shared" si="4"/>
        <v>£m 23/24 prices</v>
      </c>
      <c r="I59" s="38">
        <v>610.32696289633566</v>
      </c>
      <c r="J59" s="43" t="s">
        <v>10</v>
      </c>
      <c r="Y59" s="61">
        <f t="shared" si="13"/>
        <v>0</v>
      </c>
      <c r="Z59" s="61">
        <f t="shared" si="13"/>
        <v>0</v>
      </c>
      <c r="AA59" s="61">
        <f t="shared" si="13"/>
        <v>0</v>
      </c>
      <c r="AB59" s="61">
        <f t="shared" si="13"/>
        <v>0</v>
      </c>
      <c r="AC59" s="61">
        <f t="shared" si="13"/>
        <v>0</v>
      </c>
      <c r="AD59" s="61">
        <f t="shared" si="13"/>
        <v>0</v>
      </c>
      <c r="AE59" s="61">
        <f t="shared" si="13"/>
        <v>0</v>
      </c>
      <c r="AF59" s="61">
        <f t="shared" si="13"/>
        <v>0</v>
      </c>
      <c r="AG59" s="61">
        <f t="shared" si="13"/>
        <v>0</v>
      </c>
      <c r="AH59" s="61">
        <f t="shared" si="13"/>
        <v>0</v>
      </c>
      <c r="AI59" s="61">
        <f t="shared" si="14"/>
        <v>0</v>
      </c>
      <c r="AJ59" s="61">
        <f t="shared" si="14"/>
        <v>0</v>
      </c>
      <c r="AK59" s="61">
        <f t="shared" si="14"/>
        <v>0</v>
      </c>
      <c r="AL59" s="61">
        <f t="shared" si="14"/>
        <v>0</v>
      </c>
      <c r="AM59" s="61">
        <f t="shared" si="14"/>
        <v>0</v>
      </c>
      <c r="AN59" s="61">
        <f t="shared" si="14"/>
        <v>0</v>
      </c>
      <c r="AO59" s="61">
        <f t="shared" si="14"/>
        <v>0</v>
      </c>
      <c r="AP59" s="61">
        <f t="shared" si="14"/>
        <v>0</v>
      </c>
      <c r="AQ59" s="61">
        <f t="shared" si="14"/>
        <v>0</v>
      </c>
      <c r="AR59" s="61">
        <f t="shared" si="14"/>
        <v>0</v>
      </c>
      <c r="AS59" s="61">
        <f t="shared" si="15"/>
        <v>0</v>
      </c>
      <c r="AT59" s="89">
        <f t="shared" si="15"/>
        <v>0</v>
      </c>
      <c r="AU59" s="96">
        <f t="shared" si="15"/>
        <v>0</v>
      </c>
      <c r="AV59" s="61">
        <f t="shared" si="15"/>
        <v>26.535954908536333</v>
      </c>
      <c r="AW59" s="61">
        <f t="shared" si="15"/>
        <v>25.946267021679969</v>
      </c>
      <c r="AX59" s="61">
        <f t="shared" si="15"/>
        <v>25.356579134823608</v>
      </c>
      <c r="AY59" s="61">
        <f t="shared" si="15"/>
        <v>24.766891247967244</v>
      </c>
      <c r="BA59" s="116" t="str">
        <f t="shared" ca="1" si="8"/>
        <v>Depreciation</v>
      </c>
      <c r="BB59" s="1" t="str">
        <f t="shared" si="9"/>
        <v>Post-vesting sum of digits</v>
      </c>
    </row>
    <row r="60" spans="5:54">
      <c r="E60" s="68">
        <v>46843</v>
      </c>
      <c r="G60" t="str">
        <f t="shared" si="4"/>
        <v>£m 23/24 prices</v>
      </c>
      <c r="I60" s="38">
        <v>804.32395022820799</v>
      </c>
      <c r="J60" s="43" t="s">
        <v>10</v>
      </c>
      <c r="Y60" s="61">
        <f t="shared" si="13"/>
        <v>0</v>
      </c>
      <c r="Z60" s="61">
        <f t="shared" si="13"/>
        <v>0</v>
      </c>
      <c r="AA60" s="61">
        <f t="shared" si="13"/>
        <v>0</v>
      </c>
      <c r="AB60" s="61">
        <f t="shared" si="13"/>
        <v>0</v>
      </c>
      <c r="AC60" s="61">
        <f t="shared" si="13"/>
        <v>0</v>
      </c>
      <c r="AD60" s="61">
        <f t="shared" si="13"/>
        <v>0</v>
      </c>
      <c r="AE60" s="61">
        <f t="shared" si="13"/>
        <v>0</v>
      </c>
      <c r="AF60" s="61">
        <f t="shared" si="13"/>
        <v>0</v>
      </c>
      <c r="AG60" s="61">
        <f t="shared" si="13"/>
        <v>0</v>
      </c>
      <c r="AH60" s="61">
        <f t="shared" si="13"/>
        <v>0</v>
      </c>
      <c r="AI60" s="61">
        <f t="shared" si="14"/>
        <v>0</v>
      </c>
      <c r="AJ60" s="61">
        <f t="shared" si="14"/>
        <v>0</v>
      </c>
      <c r="AK60" s="61">
        <f t="shared" si="14"/>
        <v>0</v>
      </c>
      <c r="AL60" s="61">
        <f t="shared" si="14"/>
        <v>0</v>
      </c>
      <c r="AM60" s="61">
        <f t="shared" si="14"/>
        <v>0</v>
      </c>
      <c r="AN60" s="61">
        <f t="shared" si="14"/>
        <v>0</v>
      </c>
      <c r="AO60" s="61">
        <f t="shared" si="14"/>
        <v>0</v>
      </c>
      <c r="AP60" s="61">
        <f t="shared" si="14"/>
        <v>0</v>
      </c>
      <c r="AQ60" s="61">
        <f t="shared" si="14"/>
        <v>0</v>
      </c>
      <c r="AR60" s="61">
        <f t="shared" si="14"/>
        <v>0</v>
      </c>
      <c r="AS60" s="61">
        <f t="shared" si="15"/>
        <v>0</v>
      </c>
      <c r="AT60" s="89">
        <f t="shared" si="15"/>
        <v>0</v>
      </c>
      <c r="AU60" s="96">
        <f t="shared" si="15"/>
        <v>0</v>
      </c>
      <c r="AV60" s="61">
        <f t="shared" si="15"/>
        <v>0</v>
      </c>
      <c r="AW60" s="61">
        <f t="shared" si="15"/>
        <v>34.970606531661211</v>
      </c>
      <c r="AX60" s="61">
        <f t="shared" si="15"/>
        <v>34.19348194206875</v>
      </c>
      <c r="AY60" s="61">
        <f t="shared" si="15"/>
        <v>33.416357352476275</v>
      </c>
      <c r="BA60" s="116" t="str">
        <f t="shared" ca="1" si="8"/>
        <v>Depreciation</v>
      </c>
      <c r="BB60" s="1" t="str">
        <f t="shared" si="9"/>
        <v>Post-vesting sum of digits</v>
      </c>
    </row>
    <row r="61" spans="5:54">
      <c r="E61" s="68">
        <v>47208</v>
      </c>
      <c r="G61" t="str">
        <f t="shared" si="4"/>
        <v>£m 23/24 prices</v>
      </c>
      <c r="I61" s="38">
        <v>842.59757472298156</v>
      </c>
      <c r="J61" s="43" t="s">
        <v>10</v>
      </c>
      <c r="Y61" s="61">
        <f t="shared" si="13"/>
        <v>0</v>
      </c>
      <c r="Z61" s="61">
        <f t="shared" si="13"/>
        <v>0</v>
      </c>
      <c r="AA61" s="61">
        <f t="shared" si="13"/>
        <v>0</v>
      </c>
      <c r="AB61" s="61">
        <f t="shared" si="13"/>
        <v>0</v>
      </c>
      <c r="AC61" s="61">
        <f t="shared" si="13"/>
        <v>0</v>
      </c>
      <c r="AD61" s="61">
        <f t="shared" si="13"/>
        <v>0</v>
      </c>
      <c r="AE61" s="61">
        <f t="shared" si="13"/>
        <v>0</v>
      </c>
      <c r="AF61" s="61">
        <f t="shared" si="13"/>
        <v>0</v>
      </c>
      <c r="AG61" s="61">
        <f t="shared" si="13"/>
        <v>0</v>
      </c>
      <c r="AH61" s="61">
        <f t="shared" si="13"/>
        <v>0</v>
      </c>
      <c r="AI61" s="61">
        <f t="shared" si="14"/>
        <v>0</v>
      </c>
      <c r="AJ61" s="61">
        <f t="shared" si="14"/>
        <v>0</v>
      </c>
      <c r="AK61" s="61">
        <f t="shared" si="14"/>
        <v>0</v>
      </c>
      <c r="AL61" s="61">
        <f t="shared" si="14"/>
        <v>0</v>
      </c>
      <c r="AM61" s="61">
        <f t="shared" si="14"/>
        <v>0</v>
      </c>
      <c r="AN61" s="61">
        <f t="shared" si="14"/>
        <v>0</v>
      </c>
      <c r="AO61" s="61">
        <f t="shared" si="14"/>
        <v>0</v>
      </c>
      <c r="AP61" s="61">
        <f t="shared" si="14"/>
        <v>0</v>
      </c>
      <c r="AQ61" s="61">
        <f t="shared" si="14"/>
        <v>0</v>
      </c>
      <c r="AR61" s="61">
        <f t="shared" si="14"/>
        <v>0</v>
      </c>
      <c r="AS61" s="61">
        <f t="shared" si="15"/>
        <v>0</v>
      </c>
      <c r="AT61" s="89">
        <f t="shared" si="15"/>
        <v>0</v>
      </c>
      <c r="AU61" s="96">
        <f t="shared" si="15"/>
        <v>0</v>
      </c>
      <c r="AV61" s="61">
        <f t="shared" si="15"/>
        <v>0</v>
      </c>
      <c r="AW61" s="61">
        <f t="shared" si="15"/>
        <v>0</v>
      </c>
      <c r="AX61" s="61">
        <f t="shared" si="15"/>
        <v>36.634677161868765</v>
      </c>
      <c r="AY61" s="61">
        <f t="shared" si="15"/>
        <v>35.82057322493835</v>
      </c>
      <c r="BA61" s="116" t="str">
        <f t="shared" ca="1" si="8"/>
        <v>Depreciation</v>
      </c>
      <c r="BB61" s="1" t="str">
        <f t="shared" si="9"/>
        <v>Post-vesting sum of digits</v>
      </c>
    </row>
    <row r="62" spans="5:54">
      <c r="E62" s="68">
        <v>47573</v>
      </c>
      <c r="G62" t="str">
        <f t="shared" si="4"/>
        <v>£m 23/24 prices</v>
      </c>
      <c r="I62" s="38">
        <v>590.63589986764418</v>
      </c>
      <c r="J62" s="43" t="s">
        <v>10</v>
      </c>
      <c r="Y62" s="61">
        <f t="shared" si="13"/>
        <v>0</v>
      </c>
      <c r="Z62" s="61">
        <f t="shared" si="13"/>
        <v>0</v>
      </c>
      <c r="AA62" s="61">
        <f t="shared" si="13"/>
        <v>0</v>
      </c>
      <c r="AB62" s="61">
        <f t="shared" si="13"/>
        <v>0</v>
      </c>
      <c r="AC62" s="61">
        <f t="shared" si="13"/>
        <v>0</v>
      </c>
      <c r="AD62" s="61">
        <f t="shared" si="13"/>
        <v>0</v>
      </c>
      <c r="AE62" s="61">
        <f t="shared" si="13"/>
        <v>0</v>
      </c>
      <c r="AF62" s="61">
        <f t="shared" si="13"/>
        <v>0</v>
      </c>
      <c r="AG62" s="61">
        <f t="shared" si="13"/>
        <v>0</v>
      </c>
      <c r="AH62" s="61">
        <f t="shared" si="13"/>
        <v>0</v>
      </c>
      <c r="AI62" s="61">
        <f t="shared" si="14"/>
        <v>0</v>
      </c>
      <c r="AJ62" s="61">
        <f t="shared" si="14"/>
        <v>0</v>
      </c>
      <c r="AK62" s="61">
        <f t="shared" si="14"/>
        <v>0</v>
      </c>
      <c r="AL62" s="61">
        <f t="shared" si="14"/>
        <v>0</v>
      </c>
      <c r="AM62" s="61">
        <f t="shared" si="14"/>
        <v>0</v>
      </c>
      <c r="AN62" s="61">
        <f t="shared" si="14"/>
        <v>0</v>
      </c>
      <c r="AO62" s="61">
        <f t="shared" si="14"/>
        <v>0</v>
      </c>
      <c r="AP62" s="61">
        <f t="shared" si="14"/>
        <v>0</v>
      </c>
      <c r="AQ62" s="61">
        <f t="shared" si="14"/>
        <v>0</v>
      </c>
      <c r="AR62" s="61">
        <f t="shared" si="14"/>
        <v>0</v>
      </c>
      <c r="AS62" s="61">
        <f t="shared" si="15"/>
        <v>0</v>
      </c>
      <c r="AT62" s="89">
        <f t="shared" si="15"/>
        <v>0</v>
      </c>
      <c r="AU62" s="96">
        <f t="shared" si="15"/>
        <v>0</v>
      </c>
      <c r="AV62" s="61">
        <f t="shared" si="15"/>
        <v>0</v>
      </c>
      <c r="AW62" s="61">
        <f t="shared" si="15"/>
        <v>0</v>
      </c>
      <c r="AX62" s="61">
        <f t="shared" si="15"/>
        <v>0</v>
      </c>
      <c r="AY62" s="61">
        <f t="shared" si="15"/>
        <v>25.679821733375835</v>
      </c>
      <c r="BA62" s="116" t="str">
        <f t="shared" ca="1" si="8"/>
        <v>Depreciation</v>
      </c>
      <c r="BB62" s="1" t="str">
        <f t="shared" si="9"/>
        <v>Post-vesting sum of digits</v>
      </c>
    </row>
    <row r="63" spans="5:54">
      <c r="E63" s="68">
        <v>47938</v>
      </c>
      <c r="G63" t="str">
        <f t="shared" si="4"/>
        <v>£m 23/24 prices</v>
      </c>
      <c r="I63" s="38">
        <v>528.62463037200234</v>
      </c>
      <c r="J63" s="43" t="s">
        <v>10</v>
      </c>
      <c r="Y63" s="61">
        <f t="shared" si="13"/>
        <v>0</v>
      </c>
      <c r="Z63" s="61">
        <f t="shared" si="13"/>
        <v>0</v>
      </c>
      <c r="AA63" s="61">
        <f t="shared" si="13"/>
        <v>0</v>
      </c>
      <c r="AB63" s="61">
        <f t="shared" si="13"/>
        <v>0</v>
      </c>
      <c r="AC63" s="61">
        <f t="shared" si="13"/>
        <v>0</v>
      </c>
      <c r="AD63" s="61">
        <f t="shared" si="13"/>
        <v>0</v>
      </c>
      <c r="AE63" s="61">
        <f t="shared" si="13"/>
        <v>0</v>
      </c>
      <c r="AF63" s="61">
        <f t="shared" si="13"/>
        <v>0</v>
      </c>
      <c r="AG63" s="61">
        <f t="shared" si="13"/>
        <v>0</v>
      </c>
      <c r="AH63" s="61">
        <f t="shared" si="13"/>
        <v>0</v>
      </c>
      <c r="AI63" s="61">
        <f t="shared" si="14"/>
        <v>0</v>
      </c>
      <c r="AJ63" s="61">
        <f t="shared" si="14"/>
        <v>0</v>
      </c>
      <c r="AK63" s="61">
        <f t="shared" si="14"/>
        <v>0</v>
      </c>
      <c r="AL63" s="61">
        <f t="shared" si="14"/>
        <v>0</v>
      </c>
      <c r="AM63" s="61">
        <f t="shared" si="14"/>
        <v>0</v>
      </c>
      <c r="AN63" s="61">
        <f t="shared" si="14"/>
        <v>0</v>
      </c>
      <c r="AO63" s="61">
        <f t="shared" si="14"/>
        <v>0</v>
      </c>
      <c r="AP63" s="61">
        <f t="shared" si="14"/>
        <v>0</v>
      </c>
      <c r="AQ63" s="61">
        <f t="shared" si="14"/>
        <v>0</v>
      </c>
      <c r="AR63" s="61">
        <f t="shared" si="14"/>
        <v>0</v>
      </c>
      <c r="AS63" s="61">
        <f t="shared" si="15"/>
        <v>0</v>
      </c>
      <c r="AT63" s="89">
        <f t="shared" si="15"/>
        <v>0</v>
      </c>
      <c r="AU63" s="96">
        <f t="shared" si="15"/>
        <v>0</v>
      </c>
      <c r="AV63" s="61">
        <f t="shared" si="15"/>
        <v>0</v>
      </c>
      <c r="AW63" s="61">
        <f t="shared" si="15"/>
        <v>0</v>
      </c>
      <c r="AX63" s="61">
        <f t="shared" si="15"/>
        <v>0</v>
      </c>
      <c r="AY63" s="61">
        <f t="shared" si="15"/>
        <v>0</v>
      </c>
      <c r="BA63" s="116" t="str">
        <f t="shared" ca="1" si="8"/>
        <v>Depreciation</v>
      </c>
      <c r="BB63" s="1" t="str">
        <f t="shared" si="9"/>
        <v>Post-vesting sum of digits</v>
      </c>
    </row>
    <row r="64" spans="5:54"/>
    <row r="65" spans="1:54" ht="20" thickBot="1">
      <c r="A65" s="15" t="s">
        <v>426</v>
      </c>
    </row>
    <row r="66" spans="1:54" ht="15" thickTop="1">
      <c r="E66" s="68">
        <v>38077</v>
      </c>
      <c r="G66" s="68" t="str">
        <f t="shared" ref="G66:G93" si="16">price_label</f>
        <v>£m 23/24 prices</v>
      </c>
      <c r="I66" s="38">
        <f t="shared" ref="I66:I93" si="17">I36</f>
        <v>489.50727363148951</v>
      </c>
      <c r="J66" s="43" t="s">
        <v>10</v>
      </c>
      <c r="Y66" s="61">
        <f t="shared" ref="Y66:AY66" si="18">IF(AND(YEAR(Y$4)&gt;YEAR($E66),YEAR(Y$4)&lt;(YEAR($E66)+X$17+1)),$I66/X$17,0)</f>
        <v>10.877939414033101</v>
      </c>
      <c r="Z66" s="61">
        <f t="shared" si="18"/>
        <v>10.877939414033101</v>
      </c>
      <c r="AA66" s="61">
        <f t="shared" si="18"/>
        <v>10.877939414033101</v>
      </c>
      <c r="AB66" s="61">
        <f t="shared" si="18"/>
        <v>10.877939414033101</v>
      </c>
      <c r="AC66" s="61">
        <f t="shared" si="18"/>
        <v>10.877939414033101</v>
      </c>
      <c r="AD66" s="61">
        <f t="shared" si="18"/>
        <v>10.877939414033101</v>
      </c>
      <c r="AE66" s="61">
        <f t="shared" si="18"/>
        <v>10.877939414033101</v>
      </c>
      <c r="AF66" s="61">
        <f t="shared" si="18"/>
        <v>10.877939414033101</v>
      </c>
      <c r="AG66" s="61">
        <f t="shared" si="18"/>
        <v>10.877939414033101</v>
      </c>
      <c r="AH66" s="61">
        <f t="shared" si="18"/>
        <v>10.877939414033101</v>
      </c>
      <c r="AI66" s="61">
        <f t="shared" si="18"/>
        <v>10.877939414033101</v>
      </c>
      <c r="AJ66" s="61">
        <f t="shared" si="18"/>
        <v>10.877939414033101</v>
      </c>
      <c r="AK66" s="61">
        <f t="shared" si="18"/>
        <v>10.877939414033101</v>
      </c>
      <c r="AL66" s="61">
        <f t="shared" si="18"/>
        <v>10.877939414033101</v>
      </c>
      <c r="AM66" s="61">
        <f t="shared" si="18"/>
        <v>10.877939414033101</v>
      </c>
      <c r="AN66" s="61">
        <f t="shared" si="18"/>
        <v>10.877939414033101</v>
      </c>
      <c r="AO66" s="61">
        <f t="shared" si="18"/>
        <v>10.877939414033101</v>
      </c>
      <c r="AP66" s="61">
        <f t="shared" si="18"/>
        <v>10.877939414033101</v>
      </c>
      <c r="AQ66" s="61">
        <f t="shared" si="18"/>
        <v>10.877939414033101</v>
      </c>
      <c r="AR66" s="61">
        <f t="shared" si="18"/>
        <v>10.877939414033101</v>
      </c>
      <c r="AS66" s="61">
        <f t="shared" si="18"/>
        <v>10.877939414033101</v>
      </c>
      <c r="AT66" s="89">
        <f t="shared" si="18"/>
        <v>10.877939414033101</v>
      </c>
      <c r="AU66" s="96">
        <f t="shared" si="18"/>
        <v>10.877939414033101</v>
      </c>
      <c r="AV66" s="61">
        <f t="shared" si="18"/>
        <v>10.877939414033101</v>
      </c>
      <c r="AW66" s="61">
        <f t="shared" si="18"/>
        <v>10.877939414033101</v>
      </c>
      <c r="AX66" s="61">
        <f t="shared" si="18"/>
        <v>10.877939414033101</v>
      </c>
      <c r="AY66" s="61">
        <f t="shared" si="18"/>
        <v>10.877939414033101</v>
      </c>
      <c r="BA66" s="116" t="str">
        <f ca="1">$A$1</f>
        <v>Depreciation</v>
      </c>
      <c r="BB66" s="1" t="str">
        <f>$A$65</f>
        <v>Post-vesting depreciation</v>
      </c>
    </row>
    <row r="67" spans="1:54">
      <c r="E67" s="68">
        <v>38442</v>
      </c>
      <c r="G67" s="68" t="str">
        <f t="shared" si="16"/>
        <v>£m 23/24 prices</v>
      </c>
      <c r="I67" s="38">
        <f t="shared" si="17"/>
        <v>157.60976769562583</v>
      </c>
      <c r="J67" s="43" t="s">
        <v>10</v>
      </c>
      <c r="Y67" s="61">
        <f t="shared" ref="Y67:AY67" si="19">IF(AND(YEAR(Y$4)&gt;YEAR($E67),YEAR(Y$4)&lt;(YEAR($E67)+X$17+1)),$I67/X$17,0)</f>
        <v>0</v>
      </c>
      <c r="Z67" s="61">
        <f t="shared" si="19"/>
        <v>3.5024392821250183</v>
      </c>
      <c r="AA67" s="61">
        <f t="shared" si="19"/>
        <v>3.5024392821250183</v>
      </c>
      <c r="AB67" s="61">
        <f t="shared" si="19"/>
        <v>3.5024392821250183</v>
      </c>
      <c r="AC67" s="61">
        <f t="shared" si="19"/>
        <v>3.5024392821250183</v>
      </c>
      <c r="AD67" s="61">
        <f t="shared" si="19"/>
        <v>3.5024392821250183</v>
      </c>
      <c r="AE67" s="61">
        <f t="shared" si="19"/>
        <v>3.5024392821250183</v>
      </c>
      <c r="AF67" s="61">
        <f t="shared" si="19"/>
        <v>3.5024392821250183</v>
      </c>
      <c r="AG67" s="61">
        <f t="shared" si="19"/>
        <v>3.5024392821250183</v>
      </c>
      <c r="AH67" s="61">
        <f t="shared" si="19"/>
        <v>3.5024392821250183</v>
      </c>
      <c r="AI67" s="61">
        <f t="shared" si="19"/>
        <v>3.5024392821250183</v>
      </c>
      <c r="AJ67" s="61">
        <f t="shared" si="19"/>
        <v>3.5024392821250183</v>
      </c>
      <c r="AK67" s="61">
        <f t="shared" si="19"/>
        <v>3.5024392821250183</v>
      </c>
      <c r="AL67" s="61">
        <f t="shared" si="19"/>
        <v>3.5024392821250183</v>
      </c>
      <c r="AM67" s="61">
        <f t="shared" si="19"/>
        <v>3.5024392821250183</v>
      </c>
      <c r="AN67" s="61">
        <f t="shared" si="19"/>
        <v>3.5024392821250183</v>
      </c>
      <c r="AO67" s="61">
        <f t="shared" si="19"/>
        <v>3.5024392821250183</v>
      </c>
      <c r="AP67" s="61">
        <f t="shared" si="19"/>
        <v>3.5024392821250183</v>
      </c>
      <c r="AQ67" s="61">
        <f t="shared" si="19"/>
        <v>3.5024392821250183</v>
      </c>
      <c r="AR67" s="61">
        <f t="shared" si="19"/>
        <v>3.5024392821250183</v>
      </c>
      <c r="AS67" s="61">
        <f t="shared" si="19"/>
        <v>3.5024392821250183</v>
      </c>
      <c r="AT67" s="89">
        <f t="shared" si="19"/>
        <v>3.5024392821250183</v>
      </c>
      <c r="AU67" s="96">
        <f t="shared" si="19"/>
        <v>3.5024392821250183</v>
      </c>
      <c r="AV67" s="61">
        <f t="shared" si="19"/>
        <v>3.5024392821250183</v>
      </c>
      <c r="AW67" s="61">
        <f t="shared" si="19"/>
        <v>3.5024392821250183</v>
      </c>
      <c r="AX67" s="61">
        <f t="shared" si="19"/>
        <v>3.5024392821250183</v>
      </c>
      <c r="AY67" s="61">
        <f t="shared" si="19"/>
        <v>3.5024392821250183</v>
      </c>
      <c r="BA67" s="116" t="str">
        <f t="shared" ref="BA67:BA93" ca="1" si="20">$A$1</f>
        <v>Depreciation</v>
      </c>
      <c r="BB67" s="1" t="str">
        <f t="shared" ref="BB67:BB93" si="21">$A$65</f>
        <v>Post-vesting depreciation</v>
      </c>
    </row>
    <row r="68" spans="1:54">
      <c r="E68" s="68">
        <v>38807</v>
      </c>
      <c r="G68" s="68" t="str">
        <f t="shared" si="16"/>
        <v>£m 23/24 prices</v>
      </c>
      <c r="I68" s="38">
        <f t="shared" si="17"/>
        <v>490.59417497458742</v>
      </c>
      <c r="J68" s="43" t="s">
        <v>10</v>
      </c>
      <c r="Y68" s="61">
        <f t="shared" ref="Y68:AY68" si="22">IF(AND(YEAR(Y$4)&gt;YEAR($E68),YEAR(Y$4)&lt;(YEAR($E68)+X$17+1)),$I68/X$17,0)</f>
        <v>0</v>
      </c>
      <c r="Z68" s="61">
        <f t="shared" si="22"/>
        <v>0</v>
      </c>
      <c r="AA68" s="61">
        <f t="shared" si="22"/>
        <v>10.902092777213054</v>
      </c>
      <c r="AB68" s="61">
        <f t="shared" si="22"/>
        <v>10.902092777213054</v>
      </c>
      <c r="AC68" s="61">
        <f t="shared" si="22"/>
        <v>10.902092777213054</v>
      </c>
      <c r="AD68" s="61">
        <f t="shared" si="22"/>
        <v>10.902092777213054</v>
      </c>
      <c r="AE68" s="61">
        <f t="shared" si="22"/>
        <v>10.902092777213054</v>
      </c>
      <c r="AF68" s="61">
        <f t="shared" si="22"/>
        <v>10.902092777213054</v>
      </c>
      <c r="AG68" s="61">
        <f t="shared" si="22"/>
        <v>10.902092777213054</v>
      </c>
      <c r="AH68" s="61">
        <f t="shared" si="22"/>
        <v>10.902092777213054</v>
      </c>
      <c r="AI68" s="61">
        <f t="shared" si="22"/>
        <v>10.902092777213054</v>
      </c>
      <c r="AJ68" s="61">
        <f t="shared" si="22"/>
        <v>10.902092777213054</v>
      </c>
      <c r="AK68" s="61">
        <f t="shared" si="22"/>
        <v>10.902092777213054</v>
      </c>
      <c r="AL68" s="61">
        <f t="shared" si="22"/>
        <v>10.902092777213054</v>
      </c>
      <c r="AM68" s="61">
        <f t="shared" si="22"/>
        <v>10.902092777213054</v>
      </c>
      <c r="AN68" s="61">
        <f t="shared" si="22"/>
        <v>10.902092777213054</v>
      </c>
      <c r="AO68" s="61">
        <f t="shared" si="22"/>
        <v>10.902092777213054</v>
      </c>
      <c r="AP68" s="61">
        <f t="shared" si="22"/>
        <v>10.902092777213054</v>
      </c>
      <c r="AQ68" s="61">
        <f t="shared" si="22"/>
        <v>10.902092777213054</v>
      </c>
      <c r="AR68" s="61">
        <f t="shared" si="22"/>
        <v>10.902092777213054</v>
      </c>
      <c r="AS68" s="61">
        <f t="shared" si="22"/>
        <v>10.902092777213054</v>
      </c>
      <c r="AT68" s="89">
        <f t="shared" si="22"/>
        <v>10.902092777213054</v>
      </c>
      <c r="AU68" s="96">
        <f t="shared" si="22"/>
        <v>10.902092777213054</v>
      </c>
      <c r="AV68" s="61">
        <f t="shared" si="22"/>
        <v>10.902092777213054</v>
      </c>
      <c r="AW68" s="61">
        <f t="shared" si="22"/>
        <v>10.902092777213054</v>
      </c>
      <c r="AX68" s="61">
        <f t="shared" si="22"/>
        <v>10.902092777213054</v>
      </c>
      <c r="AY68" s="61">
        <f t="shared" si="22"/>
        <v>10.902092777213054</v>
      </c>
      <c r="BA68" s="116" t="str">
        <f t="shared" ca="1" si="20"/>
        <v>Depreciation</v>
      </c>
      <c r="BB68" s="1" t="str">
        <f t="shared" si="21"/>
        <v>Post-vesting depreciation</v>
      </c>
    </row>
    <row r="69" spans="1:54">
      <c r="E69" s="68">
        <v>39172</v>
      </c>
      <c r="G69" s="68" t="str">
        <f t="shared" si="16"/>
        <v>£m 23/24 prices</v>
      </c>
      <c r="I69" s="38">
        <f t="shared" si="17"/>
        <v>884.86120142045354</v>
      </c>
      <c r="J69" s="43" t="s">
        <v>10</v>
      </c>
      <c r="Y69" s="61">
        <f t="shared" ref="Y69:AY69" si="23">IF(AND(YEAR(Y$4)&gt;YEAR($E69),YEAR(Y$4)&lt;(YEAR($E69)+X$17+1)),$I69/X$17,0)</f>
        <v>0</v>
      </c>
      <c r="Z69" s="61">
        <f t="shared" si="23"/>
        <v>0</v>
      </c>
      <c r="AA69" s="61">
        <f t="shared" si="23"/>
        <v>0</v>
      </c>
      <c r="AB69" s="61">
        <f t="shared" si="23"/>
        <v>19.663582253787858</v>
      </c>
      <c r="AC69" s="61">
        <f t="shared" si="23"/>
        <v>19.663582253787858</v>
      </c>
      <c r="AD69" s="61">
        <f t="shared" si="23"/>
        <v>19.663582253787858</v>
      </c>
      <c r="AE69" s="61">
        <f t="shared" si="23"/>
        <v>19.663582253787858</v>
      </c>
      <c r="AF69" s="61">
        <f t="shared" si="23"/>
        <v>19.663582253787858</v>
      </c>
      <c r="AG69" s="61">
        <f t="shared" si="23"/>
        <v>19.663582253787858</v>
      </c>
      <c r="AH69" s="61">
        <f t="shared" si="23"/>
        <v>19.663582253787858</v>
      </c>
      <c r="AI69" s="61">
        <f t="shared" si="23"/>
        <v>19.663582253787858</v>
      </c>
      <c r="AJ69" s="61">
        <f t="shared" si="23"/>
        <v>19.663582253787858</v>
      </c>
      <c r="AK69" s="61">
        <f t="shared" si="23"/>
        <v>19.663582253787858</v>
      </c>
      <c r="AL69" s="61">
        <f t="shared" si="23"/>
        <v>19.663582253787858</v>
      </c>
      <c r="AM69" s="61">
        <f t="shared" si="23"/>
        <v>19.663582253787858</v>
      </c>
      <c r="AN69" s="61">
        <f t="shared" si="23"/>
        <v>19.663582253787858</v>
      </c>
      <c r="AO69" s="61">
        <f t="shared" si="23"/>
        <v>19.663582253787858</v>
      </c>
      <c r="AP69" s="61">
        <f t="shared" si="23"/>
        <v>19.663582253787858</v>
      </c>
      <c r="AQ69" s="61">
        <f t="shared" si="23"/>
        <v>19.663582253787858</v>
      </c>
      <c r="AR69" s="61">
        <f t="shared" si="23"/>
        <v>19.663582253787858</v>
      </c>
      <c r="AS69" s="61">
        <f t="shared" si="23"/>
        <v>19.663582253787858</v>
      </c>
      <c r="AT69" s="89">
        <f t="shared" si="23"/>
        <v>19.663582253787858</v>
      </c>
      <c r="AU69" s="96">
        <f t="shared" si="23"/>
        <v>19.663582253787858</v>
      </c>
      <c r="AV69" s="61">
        <f t="shared" si="23"/>
        <v>19.663582253787858</v>
      </c>
      <c r="AW69" s="61">
        <f t="shared" si="23"/>
        <v>19.663582253787858</v>
      </c>
      <c r="AX69" s="61">
        <f t="shared" si="23"/>
        <v>19.663582253787858</v>
      </c>
      <c r="AY69" s="61">
        <f t="shared" si="23"/>
        <v>19.663582253787858</v>
      </c>
      <c r="BA69" s="116" t="str">
        <f t="shared" ca="1" si="20"/>
        <v>Depreciation</v>
      </c>
      <c r="BB69" s="1" t="str">
        <f t="shared" si="21"/>
        <v>Post-vesting depreciation</v>
      </c>
    </row>
    <row r="70" spans="1:54">
      <c r="E70" s="68">
        <v>39538</v>
      </c>
      <c r="G70" s="68" t="str">
        <f t="shared" si="16"/>
        <v>£m 23/24 prices</v>
      </c>
      <c r="I70" s="38">
        <f t="shared" si="17"/>
        <v>957.9204794502175</v>
      </c>
      <c r="J70" s="43" t="s">
        <v>10</v>
      </c>
      <c r="Y70" s="61">
        <f t="shared" ref="Y70:AY70" si="24">IF(AND(YEAR(Y$4)&gt;YEAR($E70),YEAR(Y$4)&lt;(YEAR($E70)+X$17+1)),$I70/X$17,0)</f>
        <v>0</v>
      </c>
      <c r="Z70" s="61">
        <f t="shared" si="24"/>
        <v>0</v>
      </c>
      <c r="AA70" s="61">
        <f t="shared" si="24"/>
        <v>0</v>
      </c>
      <c r="AB70" s="61">
        <f t="shared" si="24"/>
        <v>0</v>
      </c>
      <c r="AC70" s="61">
        <f t="shared" si="24"/>
        <v>21.287121765560389</v>
      </c>
      <c r="AD70" s="61">
        <f t="shared" si="24"/>
        <v>21.287121765560389</v>
      </c>
      <c r="AE70" s="61">
        <f t="shared" si="24"/>
        <v>21.287121765560389</v>
      </c>
      <c r="AF70" s="61">
        <f t="shared" si="24"/>
        <v>21.287121765560389</v>
      </c>
      <c r="AG70" s="61">
        <f t="shared" si="24"/>
        <v>21.287121765560389</v>
      </c>
      <c r="AH70" s="61">
        <f t="shared" si="24"/>
        <v>21.287121765560389</v>
      </c>
      <c r="AI70" s="61">
        <f t="shared" si="24"/>
        <v>21.287121765560389</v>
      </c>
      <c r="AJ70" s="61">
        <f t="shared" si="24"/>
        <v>21.287121765560389</v>
      </c>
      <c r="AK70" s="61">
        <f t="shared" si="24"/>
        <v>21.287121765560389</v>
      </c>
      <c r="AL70" s="61">
        <f t="shared" si="24"/>
        <v>21.287121765560389</v>
      </c>
      <c r="AM70" s="61">
        <f t="shared" si="24"/>
        <v>21.287121765560389</v>
      </c>
      <c r="AN70" s="61">
        <f t="shared" si="24"/>
        <v>21.287121765560389</v>
      </c>
      <c r="AO70" s="61">
        <f t="shared" si="24"/>
        <v>21.287121765560389</v>
      </c>
      <c r="AP70" s="61">
        <f t="shared" si="24"/>
        <v>21.287121765560389</v>
      </c>
      <c r="AQ70" s="61">
        <f t="shared" si="24"/>
        <v>21.287121765560389</v>
      </c>
      <c r="AR70" s="61">
        <f t="shared" si="24"/>
        <v>21.287121765560389</v>
      </c>
      <c r="AS70" s="61">
        <f t="shared" si="24"/>
        <v>21.287121765560389</v>
      </c>
      <c r="AT70" s="89">
        <f t="shared" si="24"/>
        <v>21.287121765560389</v>
      </c>
      <c r="AU70" s="96">
        <f t="shared" si="24"/>
        <v>21.287121765560389</v>
      </c>
      <c r="AV70" s="61">
        <f t="shared" si="24"/>
        <v>21.287121765560389</v>
      </c>
      <c r="AW70" s="61">
        <f t="shared" si="24"/>
        <v>21.287121765560389</v>
      </c>
      <c r="AX70" s="61">
        <f t="shared" si="24"/>
        <v>21.287121765560389</v>
      </c>
      <c r="AY70" s="61">
        <f t="shared" si="24"/>
        <v>21.287121765560389</v>
      </c>
      <c r="BA70" s="116" t="str">
        <f t="shared" ca="1" si="20"/>
        <v>Depreciation</v>
      </c>
      <c r="BB70" s="1" t="str">
        <f t="shared" si="21"/>
        <v>Post-vesting depreciation</v>
      </c>
    </row>
    <row r="71" spans="1:54">
      <c r="E71" s="68">
        <v>39903</v>
      </c>
      <c r="G71" s="68" t="str">
        <f t="shared" si="16"/>
        <v>£m 23/24 prices</v>
      </c>
      <c r="I71" s="38">
        <f t="shared" si="17"/>
        <v>405.1758456583176</v>
      </c>
      <c r="J71" s="43" t="s">
        <v>10</v>
      </c>
      <c r="Y71" s="61">
        <f t="shared" ref="Y71:AY71" si="25">IF(AND(YEAR(Y$4)&gt;YEAR($E71),YEAR(Y$4)&lt;(YEAR($E71)+X$17+1)),$I71/X$17,0)</f>
        <v>0</v>
      </c>
      <c r="Z71" s="61">
        <f t="shared" si="25"/>
        <v>0</v>
      </c>
      <c r="AA71" s="61">
        <f t="shared" si="25"/>
        <v>0</v>
      </c>
      <c r="AB71" s="61">
        <f t="shared" si="25"/>
        <v>0</v>
      </c>
      <c r="AC71" s="61">
        <f t="shared" si="25"/>
        <v>0</v>
      </c>
      <c r="AD71" s="61">
        <f t="shared" si="25"/>
        <v>9.0039076812959458</v>
      </c>
      <c r="AE71" s="61">
        <f t="shared" si="25"/>
        <v>9.0039076812959458</v>
      </c>
      <c r="AF71" s="61">
        <f t="shared" si="25"/>
        <v>9.0039076812959458</v>
      </c>
      <c r="AG71" s="61">
        <f t="shared" si="25"/>
        <v>9.0039076812959458</v>
      </c>
      <c r="AH71" s="61">
        <f t="shared" si="25"/>
        <v>9.0039076812959458</v>
      </c>
      <c r="AI71" s="61">
        <f t="shared" si="25"/>
        <v>9.0039076812959458</v>
      </c>
      <c r="AJ71" s="61">
        <f t="shared" si="25"/>
        <v>9.0039076812959458</v>
      </c>
      <c r="AK71" s="61">
        <f t="shared" si="25"/>
        <v>9.0039076812959458</v>
      </c>
      <c r="AL71" s="61">
        <f t="shared" si="25"/>
        <v>9.0039076812959458</v>
      </c>
      <c r="AM71" s="61">
        <f t="shared" si="25"/>
        <v>9.0039076812959458</v>
      </c>
      <c r="AN71" s="61">
        <f t="shared" si="25"/>
        <v>9.0039076812959458</v>
      </c>
      <c r="AO71" s="61">
        <f t="shared" si="25"/>
        <v>9.0039076812959458</v>
      </c>
      <c r="AP71" s="61">
        <f t="shared" si="25"/>
        <v>9.0039076812959458</v>
      </c>
      <c r="AQ71" s="61">
        <f t="shared" si="25"/>
        <v>9.0039076812959458</v>
      </c>
      <c r="AR71" s="61">
        <f t="shared" si="25"/>
        <v>9.0039076812959458</v>
      </c>
      <c r="AS71" s="61">
        <f t="shared" si="25"/>
        <v>9.0039076812959458</v>
      </c>
      <c r="AT71" s="89">
        <f t="shared" si="25"/>
        <v>9.0039076812959458</v>
      </c>
      <c r="AU71" s="96">
        <f t="shared" si="25"/>
        <v>9.0039076812959458</v>
      </c>
      <c r="AV71" s="61">
        <f t="shared" si="25"/>
        <v>9.0039076812959458</v>
      </c>
      <c r="AW71" s="61">
        <f t="shared" si="25"/>
        <v>9.0039076812959458</v>
      </c>
      <c r="AX71" s="61">
        <f t="shared" si="25"/>
        <v>9.0039076812959458</v>
      </c>
      <c r="AY71" s="61">
        <f t="shared" si="25"/>
        <v>9.0039076812959458</v>
      </c>
      <c r="BA71" s="116" t="str">
        <f t="shared" ca="1" si="20"/>
        <v>Depreciation</v>
      </c>
      <c r="BB71" s="1" t="str">
        <f t="shared" si="21"/>
        <v>Post-vesting depreciation</v>
      </c>
    </row>
    <row r="72" spans="1:54">
      <c r="E72" s="68">
        <v>40268</v>
      </c>
      <c r="G72" s="68" t="str">
        <f t="shared" si="16"/>
        <v>£m 23/24 prices</v>
      </c>
      <c r="I72" s="38">
        <f t="shared" si="17"/>
        <v>201.45679890575062</v>
      </c>
      <c r="J72" s="43" t="s">
        <v>10</v>
      </c>
      <c r="Y72" s="61">
        <f t="shared" ref="Y72:AY72" si="26">IF(AND(YEAR(Y$4)&gt;YEAR($E72),YEAR(Y$4)&lt;(YEAR($E72)+X$17+1)),$I72/X$17,0)</f>
        <v>0</v>
      </c>
      <c r="Z72" s="61">
        <f t="shared" si="26"/>
        <v>0</v>
      </c>
      <c r="AA72" s="61">
        <f t="shared" si="26"/>
        <v>0</v>
      </c>
      <c r="AB72" s="61">
        <f t="shared" si="26"/>
        <v>0</v>
      </c>
      <c r="AC72" s="61">
        <f t="shared" si="26"/>
        <v>0</v>
      </c>
      <c r="AD72" s="61">
        <f t="shared" si="26"/>
        <v>0</v>
      </c>
      <c r="AE72" s="61">
        <f t="shared" si="26"/>
        <v>4.4768177534611251</v>
      </c>
      <c r="AF72" s="61">
        <f t="shared" si="26"/>
        <v>4.4768177534611251</v>
      </c>
      <c r="AG72" s="61">
        <f t="shared" si="26"/>
        <v>4.4768177534611251</v>
      </c>
      <c r="AH72" s="61">
        <f t="shared" si="26"/>
        <v>4.4768177534611251</v>
      </c>
      <c r="AI72" s="61">
        <f t="shared" si="26"/>
        <v>4.4768177534611251</v>
      </c>
      <c r="AJ72" s="61">
        <f t="shared" si="26"/>
        <v>4.4768177534611251</v>
      </c>
      <c r="AK72" s="61">
        <f t="shared" si="26"/>
        <v>4.4768177534611251</v>
      </c>
      <c r="AL72" s="61">
        <f t="shared" si="26"/>
        <v>4.4768177534611251</v>
      </c>
      <c r="AM72" s="61">
        <f t="shared" si="26"/>
        <v>4.4768177534611251</v>
      </c>
      <c r="AN72" s="61">
        <f t="shared" si="26"/>
        <v>4.4768177534611251</v>
      </c>
      <c r="AO72" s="61">
        <f t="shared" si="26"/>
        <v>4.4768177534611251</v>
      </c>
      <c r="AP72" s="61">
        <f t="shared" si="26"/>
        <v>4.4768177534611251</v>
      </c>
      <c r="AQ72" s="61">
        <f t="shared" si="26"/>
        <v>4.4768177534611251</v>
      </c>
      <c r="AR72" s="61">
        <f t="shared" si="26"/>
        <v>4.4768177534611251</v>
      </c>
      <c r="AS72" s="61">
        <f t="shared" si="26"/>
        <v>4.4768177534611251</v>
      </c>
      <c r="AT72" s="89">
        <f t="shared" si="26"/>
        <v>4.4768177534611251</v>
      </c>
      <c r="AU72" s="96">
        <f t="shared" si="26"/>
        <v>4.4768177534611251</v>
      </c>
      <c r="AV72" s="61">
        <f t="shared" si="26"/>
        <v>4.4768177534611251</v>
      </c>
      <c r="AW72" s="61">
        <f t="shared" si="26"/>
        <v>4.4768177534611251</v>
      </c>
      <c r="AX72" s="61">
        <f t="shared" si="26"/>
        <v>4.4768177534611251</v>
      </c>
      <c r="AY72" s="61">
        <f t="shared" si="26"/>
        <v>4.4768177534611251</v>
      </c>
      <c r="BA72" s="116" t="str">
        <f t="shared" ca="1" si="20"/>
        <v>Depreciation</v>
      </c>
      <c r="BB72" s="1" t="str">
        <f t="shared" si="21"/>
        <v>Post-vesting depreciation</v>
      </c>
    </row>
    <row r="73" spans="1:54">
      <c r="E73" s="68">
        <v>40633</v>
      </c>
      <c r="G73" s="68" t="str">
        <f t="shared" si="16"/>
        <v>£m 23/24 prices</v>
      </c>
      <c r="I73" s="38">
        <f t="shared" si="17"/>
        <v>163.49980480015913</v>
      </c>
      <c r="J73" s="43" t="s">
        <v>10</v>
      </c>
      <c r="Y73" s="61">
        <f t="shared" ref="Y73:AY73" si="27">IF(AND(YEAR(Y$4)&gt;YEAR($E73),YEAR(Y$4)&lt;(YEAR($E73)+X$17+1)),$I73/X$17,0)</f>
        <v>0</v>
      </c>
      <c r="Z73" s="61">
        <f t="shared" si="27"/>
        <v>0</v>
      </c>
      <c r="AA73" s="61">
        <f t="shared" si="27"/>
        <v>0</v>
      </c>
      <c r="AB73" s="61">
        <f t="shared" si="27"/>
        <v>0</v>
      </c>
      <c r="AC73" s="61">
        <f t="shared" si="27"/>
        <v>0</v>
      </c>
      <c r="AD73" s="61">
        <f t="shared" si="27"/>
        <v>0</v>
      </c>
      <c r="AE73" s="61">
        <f t="shared" si="27"/>
        <v>0</v>
      </c>
      <c r="AF73" s="61">
        <f t="shared" si="27"/>
        <v>3.6333289955590917</v>
      </c>
      <c r="AG73" s="61">
        <f t="shared" si="27"/>
        <v>3.6333289955590917</v>
      </c>
      <c r="AH73" s="61">
        <f t="shared" si="27"/>
        <v>3.6333289955590917</v>
      </c>
      <c r="AI73" s="61">
        <f t="shared" si="27"/>
        <v>3.6333289955590917</v>
      </c>
      <c r="AJ73" s="61">
        <f t="shared" si="27"/>
        <v>3.6333289955590917</v>
      </c>
      <c r="AK73" s="61">
        <f t="shared" si="27"/>
        <v>3.6333289955590917</v>
      </c>
      <c r="AL73" s="61">
        <f t="shared" si="27"/>
        <v>3.6333289955590917</v>
      </c>
      <c r="AM73" s="61">
        <f t="shared" si="27"/>
        <v>3.6333289955590917</v>
      </c>
      <c r="AN73" s="61">
        <f t="shared" si="27"/>
        <v>3.6333289955590917</v>
      </c>
      <c r="AO73" s="61">
        <f t="shared" si="27"/>
        <v>3.6333289955590917</v>
      </c>
      <c r="AP73" s="61">
        <f t="shared" si="27"/>
        <v>3.6333289955590917</v>
      </c>
      <c r="AQ73" s="61">
        <f t="shared" si="27"/>
        <v>3.6333289955590917</v>
      </c>
      <c r="AR73" s="61">
        <f t="shared" si="27"/>
        <v>3.6333289955590917</v>
      </c>
      <c r="AS73" s="61">
        <f t="shared" si="27"/>
        <v>3.6333289955590917</v>
      </c>
      <c r="AT73" s="89">
        <f t="shared" si="27"/>
        <v>3.6333289955590917</v>
      </c>
      <c r="AU73" s="96">
        <f t="shared" si="27"/>
        <v>3.6333289955590917</v>
      </c>
      <c r="AV73" s="61">
        <f t="shared" si="27"/>
        <v>3.6333289955590917</v>
      </c>
      <c r="AW73" s="61">
        <f t="shared" si="27"/>
        <v>3.6333289955590917</v>
      </c>
      <c r="AX73" s="61">
        <f t="shared" si="27"/>
        <v>3.6333289955590917</v>
      </c>
      <c r="AY73" s="61">
        <f t="shared" si="27"/>
        <v>3.6333289955590917</v>
      </c>
      <c r="BA73" s="116" t="str">
        <f t="shared" ca="1" si="20"/>
        <v>Depreciation</v>
      </c>
      <c r="BB73" s="1" t="str">
        <f t="shared" si="21"/>
        <v>Post-vesting depreciation</v>
      </c>
    </row>
    <row r="74" spans="1:54">
      <c r="E74" s="68">
        <v>40999</v>
      </c>
      <c r="G74" s="68" t="str">
        <f t="shared" si="16"/>
        <v>£m 23/24 prices</v>
      </c>
      <c r="I74" s="38">
        <f t="shared" si="17"/>
        <v>165.3576046586341</v>
      </c>
      <c r="J74" s="43" t="s">
        <v>10</v>
      </c>
      <c r="Y74" s="61">
        <f t="shared" ref="Y74:AY74" si="28">IF(AND(YEAR(Y$4)&gt;YEAR($E74),YEAR(Y$4)&lt;(YEAR($E74)+X$17+1)),$I74/X$17,0)</f>
        <v>0</v>
      </c>
      <c r="Z74" s="61">
        <f t="shared" si="28"/>
        <v>0</v>
      </c>
      <c r="AA74" s="61">
        <f t="shared" si="28"/>
        <v>0</v>
      </c>
      <c r="AB74" s="61">
        <f t="shared" si="28"/>
        <v>0</v>
      </c>
      <c r="AC74" s="61">
        <f t="shared" si="28"/>
        <v>0</v>
      </c>
      <c r="AD74" s="61">
        <f t="shared" si="28"/>
        <v>0</v>
      </c>
      <c r="AE74" s="61">
        <f t="shared" si="28"/>
        <v>0</v>
      </c>
      <c r="AF74" s="61">
        <f t="shared" si="28"/>
        <v>0</v>
      </c>
      <c r="AG74" s="61">
        <f t="shared" si="28"/>
        <v>3.6746134368585355</v>
      </c>
      <c r="AH74" s="61">
        <f t="shared" si="28"/>
        <v>3.6746134368585355</v>
      </c>
      <c r="AI74" s="61">
        <f t="shared" si="28"/>
        <v>3.6746134368585355</v>
      </c>
      <c r="AJ74" s="61">
        <f t="shared" si="28"/>
        <v>3.6746134368585355</v>
      </c>
      <c r="AK74" s="61">
        <f t="shared" si="28"/>
        <v>3.6746134368585355</v>
      </c>
      <c r="AL74" s="61">
        <f t="shared" si="28"/>
        <v>3.6746134368585355</v>
      </c>
      <c r="AM74" s="61">
        <f t="shared" si="28"/>
        <v>3.6746134368585355</v>
      </c>
      <c r="AN74" s="61">
        <f t="shared" si="28"/>
        <v>3.6746134368585355</v>
      </c>
      <c r="AO74" s="61">
        <f t="shared" si="28"/>
        <v>3.6746134368585355</v>
      </c>
      <c r="AP74" s="61">
        <f t="shared" si="28"/>
        <v>3.6746134368585355</v>
      </c>
      <c r="AQ74" s="61">
        <f t="shared" si="28"/>
        <v>3.6746134368585355</v>
      </c>
      <c r="AR74" s="61">
        <f t="shared" si="28"/>
        <v>3.6746134368585355</v>
      </c>
      <c r="AS74" s="61">
        <f t="shared" si="28"/>
        <v>3.6746134368585355</v>
      </c>
      <c r="AT74" s="89">
        <f t="shared" si="28"/>
        <v>3.6746134368585355</v>
      </c>
      <c r="AU74" s="96">
        <f t="shared" si="28"/>
        <v>3.6746134368585355</v>
      </c>
      <c r="AV74" s="61">
        <f t="shared" si="28"/>
        <v>3.6746134368585355</v>
      </c>
      <c r="AW74" s="61">
        <f t="shared" si="28"/>
        <v>3.6746134368585355</v>
      </c>
      <c r="AX74" s="61">
        <f t="shared" si="28"/>
        <v>3.6746134368585355</v>
      </c>
      <c r="AY74" s="61">
        <f t="shared" si="28"/>
        <v>3.6746134368585355</v>
      </c>
      <c r="BA74" s="116" t="str">
        <f t="shared" ca="1" si="20"/>
        <v>Depreciation</v>
      </c>
      <c r="BB74" s="1" t="str">
        <f t="shared" si="21"/>
        <v>Post-vesting depreciation</v>
      </c>
    </row>
    <row r="75" spans="1:54">
      <c r="E75" s="68">
        <v>41364</v>
      </c>
      <c r="G75" s="68" t="str">
        <f t="shared" si="16"/>
        <v>£m 23/24 prices</v>
      </c>
      <c r="I75" s="38">
        <f t="shared" si="17"/>
        <v>-47.034102572314929</v>
      </c>
      <c r="J75" s="43" t="s">
        <v>10</v>
      </c>
      <c r="Y75" s="61">
        <f t="shared" ref="Y75:AY75" si="29">IF(AND(YEAR(Y$4)&gt;YEAR($E75),YEAR(Y$4)&lt;(YEAR($E75)+X$17+1)),$I75/X$17,0)</f>
        <v>0</v>
      </c>
      <c r="Z75" s="61">
        <f t="shared" si="29"/>
        <v>0</v>
      </c>
      <c r="AA75" s="61">
        <f t="shared" si="29"/>
        <v>0</v>
      </c>
      <c r="AB75" s="61">
        <f t="shared" si="29"/>
        <v>0</v>
      </c>
      <c r="AC75" s="61">
        <f t="shared" si="29"/>
        <v>0</v>
      </c>
      <c r="AD75" s="61">
        <f t="shared" si="29"/>
        <v>0</v>
      </c>
      <c r="AE75" s="61">
        <f t="shared" si="29"/>
        <v>0</v>
      </c>
      <c r="AF75" s="61">
        <f t="shared" si="29"/>
        <v>0</v>
      </c>
      <c r="AG75" s="61">
        <f t="shared" si="29"/>
        <v>0</v>
      </c>
      <c r="AH75" s="61">
        <f t="shared" si="29"/>
        <v>-1.0452022793847762</v>
      </c>
      <c r="AI75" s="61">
        <f t="shared" si="29"/>
        <v>-1.0452022793847762</v>
      </c>
      <c r="AJ75" s="61">
        <f t="shared" si="29"/>
        <v>-1.0452022793847762</v>
      </c>
      <c r="AK75" s="61">
        <f t="shared" si="29"/>
        <v>-1.0452022793847762</v>
      </c>
      <c r="AL75" s="61">
        <f t="shared" si="29"/>
        <v>-1.0452022793847762</v>
      </c>
      <c r="AM75" s="61">
        <f t="shared" si="29"/>
        <v>-1.0452022793847762</v>
      </c>
      <c r="AN75" s="61">
        <f t="shared" si="29"/>
        <v>-1.0452022793847762</v>
      </c>
      <c r="AO75" s="61">
        <f t="shared" si="29"/>
        <v>-1.0452022793847762</v>
      </c>
      <c r="AP75" s="61">
        <f t="shared" si="29"/>
        <v>-1.0452022793847762</v>
      </c>
      <c r="AQ75" s="61">
        <f t="shared" si="29"/>
        <v>-1.0452022793847762</v>
      </c>
      <c r="AR75" s="61">
        <f t="shared" si="29"/>
        <v>-1.0452022793847762</v>
      </c>
      <c r="AS75" s="61">
        <f t="shared" si="29"/>
        <v>-1.0452022793847762</v>
      </c>
      <c r="AT75" s="89">
        <f t="shared" si="29"/>
        <v>-1.0452022793847762</v>
      </c>
      <c r="AU75" s="96">
        <f t="shared" si="29"/>
        <v>-1.0452022793847762</v>
      </c>
      <c r="AV75" s="61">
        <f t="shared" si="29"/>
        <v>-1.0452022793847762</v>
      </c>
      <c r="AW75" s="61">
        <f t="shared" si="29"/>
        <v>-1.0452022793847762</v>
      </c>
      <c r="AX75" s="61">
        <f t="shared" si="29"/>
        <v>-1.0452022793847762</v>
      </c>
      <c r="AY75" s="61">
        <f t="shared" si="29"/>
        <v>-1.0452022793847762</v>
      </c>
      <c r="BA75" s="116" t="str">
        <f t="shared" ca="1" si="20"/>
        <v>Depreciation</v>
      </c>
      <c r="BB75" s="1" t="str">
        <f t="shared" si="21"/>
        <v>Post-vesting depreciation</v>
      </c>
    </row>
    <row r="76" spans="1:54">
      <c r="E76" s="68">
        <v>41729</v>
      </c>
      <c r="G76" s="68" t="str">
        <f t="shared" si="16"/>
        <v>£m 23/24 prices</v>
      </c>
      <c r="I76" s="38">
        <f t="shared" si="17"/>
        <v>262.13061665762154</v>
      </c>
      <c r="J76" s="43" t="s">
        <v>10</v>
      </c>
      <c r="Y76" s="61">
        <f t="shared" ref="Y76:AY76" si="30">IF(AND(YEAR(Y$4)&gt;YEAR($E76),YEAR(Y$4)&lt;(YEAR($E76)+X$17+1)),$I76/X$17,0)</f>
        <v>0</v>
      </c>
      <c r="Z76" s="61">
        <f t="shared" si="30"/>
        <v>0</v>
      </c>
      <c r="AA76" s="61">
        <f t="shared" si="30"/>
        <v>0</v>
      </c>
      <c r="AB76" s="61">
        <f t="shared" si="30"/>
        <v>0</v>
      </c>
      <c r="AC76" s="61">
        <f t="shared" si="30"/>
        <v>0</v>
      </c>
      <c r="AD76" s="61">
        <f t="shared" si="30"/>
        <v>0</v>
      </c>
      <c r="AE76" s="61">
        <f t="shared" si="30"/>
        <v>0</v>
      </c>
      <c r="AF76" s="61">
        <f t="shared" si="30"/>
        <v>0</v>
      </c>
      <c r="AG76" s="61">
        <f t="shared" si="30"/>
        <v>0</v>
      </c>
      <c r="AH76" s="61">
        <f t="shared" si="30"/>
        <v>0</v>
      </c>
      <c r="AI76" s="61">
        <f t="shared" si="30"/>
        <v>5.8251248146138117</v>
      </c>
      <c r="AJ76" s="61">
        <f t="shared" si="30"/>
        <v>5.8251248146138117</v>
      </c>
      <c r="AK76" s="61">
        <f t="shared" si="30"/>
        <v>5.8251248146138117</v>
      </c>
      <c r="AL76" s="61">
        <f t="shared" si="30"/>
        <v>5.8251248146138117</v>
      </c>
      <c r="AM76" s="61">
        <f t="shared" si="30"/>
        <v>5.8251248146138117</v>
      </c>
      <c r="AN76" s="61">
        <f t="shared" si="30"/>
        <v>5.8251248146138117</v>
      </c>
      <c r="AO76" s="61">
        <f t="shared" si="30"/>
        <v>5.8251248146138117</v>
      </c>
      <c r="AP76" s="61">
        <f t="shared" si="30"/>
        <v>5.8251248146138117</v>
      </c>
      <c r="AQ76" s="61">
        <f t="shared" si="30"/>
        <v>5.8251248146138117</v>
      </c>
      <c r="AR76" s="61">
        <f t="shared" si="30"/>
        <v>5.8251248146138117</v>
      </c>
      <c r="AS76" s="61">
        <f t="shared" si="30"/>
        <v>5.8251248146138117</v>
      </c>
      <c r="AT76" s="89">
        <f t="shared" si="30"/>
        <v>5.8251248146138117</v>
      </c>
      <c r="AU76" s="96">
        <f t="shared" si="30"/>
        <v>5.8251248146138117</v>
      </c>
      <c r="AV76" s="61">
        <f t="shared" si="30"/>
        <v>5.8251248146138117</v>
      </c>
      <c r="AW76" s="61">
        <f t="shared" si="30"/>
        <v>5.8251248146138117</v>
      </c>
      <c r="AX76" s="61">
        <f t="shared" si="30"/>
        <v>5.8251248146138117</v>
      </c>
      <c r="AY76" s="61">
        <f t="shared" si="30"/>
        <v>5.8251248146138117</v>
      </c>
      <c r="BA76" s="116" t="str">
        <f t="shared" ca="1" si="20"/>
        <v>Depreciation</v>
      </c>
      <c r="BB76" s="1" t="str">
        <f t="shared" si="21"/>
        <v>Post-vesting depreciation</v>
      </c>
    </row>
    <row r="77" spans="1:54">
      <c r="E77" s="68">
        <v>42094</v>
      </c>
      <c r="G77" s="68" t="str">
        <f t="shared" si="16"/>
        <v>£m 23/24 prices</v>
      </c>
      <c r="I77" s="38">
        <f t="shared" si="17"/>
        <v>208.3748605321918</v>
      </c>
      <c r="J77" s="43" t="s">
        <v>10</v>
      </c>
      <c r="Y77" s="61">
        <f t="shared" ref="Y77:AY77" si="31">IF(AND(YEAR(Y$4)&gt;YEAR($E77),YEAR(Y$4)&lt;(YEAR($E77)+X$17+1)),$I77/X$17,0)</f>
        <v>0</v>
      </c>
      <c r="Z77" s="61">
        <f t="shared" si="31"/>
        <v>0</v>
      </c>
      <c r="AA77" s="61">
        <f t="shared" si="31"/>
        <v>0</v>
      </c>
      <c r="AB77" s="61">
        <f t="shared" si="31"/>
        <v>0</v>
      </c>
      <c r="AC77" s="61">
        <f t="shared" si="31"/>
        <v>0</v>
      </c>
      <c r="AD77" s="61">
        <f t="shared" si="31"/>
        <v>0</v>
      </c>
      <c r="AE77" s="61">
        <f t="shared" si="31"/>
        <v>0</v>
      </c>
      <c r="AF77" s="61">
        <f t="shared" si="31"/>
        <v>0</v>
      </c>
      <c r="AG77" s="61">
        <f t="shared" si="31"/>
        <v>0</v>
      </c>
      <c r="AH77" s="61">
        <f t="shared" si="31"/>
        <v>0</v>
      </c>
      <c r="AI77" s="61">
        <f t="shared" si="31"/>
        <v>0</v>
      </c>
      <c r="AJ77" s="61">
        <f t="shared" si="31"/>
        <v>4.6305524562709293</v>
      </c>
      <c r="AK77" s="61">
        <f t="shared" si="31"/>
        <v>4.6305524562709293</v>
      </c>
      <c r="AL77" s="61">
        <f t="shared" si="31"/>
        <v>4.6305524562709293</v>
      </c>
      <c r="AM77" s="61">
        <f t="shared" si="31"/>
        <v>4.6305524562709293</v>
      </c>
      <c r="AN77" s="61">
        <f t="shared" si="31"/>
        <v>4.6305524562709293</v>
      </c>
      <c r="AO77" s="61">
        <f t="shared" si="31"/>
        <v>4.6305524562709293</v>
      </c>
      <c r="AP77" s="61">
        <f t="shared" si="31"/>
        <v>4.6305524562709293</v>
      </c>
      <c r="AQ77" s="61">
        <f t="shared" si="31"/>
        <v>4.6305524562709293</v>
      </c>
      <c r="AR77" s="61">
        <f t="shared" si="31"/>
        <v>4.6305524562709293</v>
      </c>
      <c r="AS77" s="61">
        <f t="shared" si="31"/>
        <v>4.6305524562709293</v>
      </c>
      <c r="AT77" s="89">
        <f t="shared" si="31"/>
        <v>4.6305524562709293</v>
      </c>
      <c r="AU77" s="96">
        <f t="shared" si="31"/>
        <v>4.6305524562709293</v>
      </c>
      <c r="AV77" s="61">
        <f t="shared" si="31"/>
        <v>4.6305524562709293</v>
      </c>
      <c r="AW77" s="61">
        <f t="shared" si="31"/>
        <v>4.6305524562709293</v>
      </c>
      <c r="AX77" s="61">
        <f t="shared" si="31"/>
        <v>4.6305524562709293</v>
      </c>
      <c r="AY77" s="61">
        <f t="shared" si="31"/>
        <v>4.6305524562709293</v>
      </c>
      <c r="BA77" s="116" t="str">
        <f t="shared" ca="1" si="20"/>
        <v>Depreciation</v>
      </c>
      <c r="BB77" s="1" t="str">
        <f t="shared" si="21"/>
        <v>Post-vesting depreciation</v>
      </c>
    </row>
    <row r="78" spans="1:54">
      <c r="E78" s="68">
        <v>42460</v>
      </c>
      <c r="G78" s="68" t="str">
        <f t="shared" si="16"/>
        <v>£m 23/24 prices</v>
      </c>
      <c r="I78" s="38">
        <f t="shared" si="17"/>
        <v>197.01125140359775</v>
      </c>
      <c r="J78" s="43" t="s">
        <v>10</v>
      </c>
      <c r="Y78" s="61">
        <f t="shared" ref="Y78:AY78" si="32">IF(AND(YEAR(Y$4)&gt;YEAR($E78),YEAR(Y$4)&lt;(YEAR($E78)+X$17+1)),$I78/X$17,0)</f>
        <v>0</v>
      </c>
      <c r="Z78" s="61">
        <f t="shared" si="32"/>
        <v>0</v>
      </c>
      <c r="AA78" s="61">
        <f t="shared" si="32"/>
        <v>0</v>
      </c>
      <c r="AB78" s="61">
        <f t="shared" si="32"/>
        <v>0</v>
      </c>
      <c r="AC78" s="61">
        <f t="shared" si="32"/>
        <v>0</v>
      </c>
      <c r="AD78" s="61">
        <f t="shared" si="32"/>
        <v>0</v>
      </c>
      <c r="AE78" s="61">
        <f t="shared" si="32"/>
        <v>0</v>
      </c>
      <c r="AF78" s="61">
        <f t="shared" si="32"/>
        <v>0</v>
      </c>
      <c r="AG78" s="61">
        <f t="shared" si="32"/>
        <v>0</v>
      </c>
      <c r="AH78" s="61">
        <f t="shared" si="32"/>
        <v>0</v>
      </c>
      <c r="AI78" s="61">
        <f t="shared" si="32"/>
        <v>0</v>
      </c>
      <c r="AJ78" s="61">
        <f t="shared" si="32"/>
        <v>0</v>
      </c>
      <c r="AK78" s="61">
        <f t="shared" si="32"/>
        <v>4.3780278089688389</v>
      </c>
      <c r="AL78" s="61">
        <f t="shared" si="32"/>
        <v>4.3780278089688389</v>
      </c>
      <c r="AM78" s="61">
        <f t="shared" si="32"/>
        <v>4.3780278089688389</v>
      </c>
      <c r="AN78" s="61">
        <f t="shared" si="32"/>
        <v>4.3780278089688389</v>
      </c>
      <c r="AO78" s="61">
        <f t="shared" si="32"/>
        <v>4.3780278089688389</v>
      </c>
      <c r="AP78" s="61">
        <f t="shared" si="32"/>
        <v>4.3780278089688389</v>
      </c>
      <c r="AQ78" s="61">
        <f t="shared" si="32"/>
        <v>4.3780278089688389</v>
      </c>
      <c r="AR78" s="61">
        <f t="shared" si="32"/>
        <v>4.3780278089688389</v>
      </c>
      <c r="AS78" s="61">
        <f t="shared" si="32"/>
        <v>4.3780278089688389</v>
      </c>
      <c r="AT78" s="89">
        <f t="shared" si="32"/>
        <v>4.3780278089688389</v>
      </c>
      <c r="AU78" s="96">
        <f t="shared" si="32"/>
        <v>4.3780278089688389</v>
      </c>
      <c r="AV78" s="61">
        <f t="shared" si="32"/>
        <v>4.3780278089688389</v>
      </c>
      <c r="AW78" s="61">
        <f t="shared" si="32"/>
        <v>4.3780278089688389</v>
      </c>
      <c r="AX78" s="61">
        <f t="shared" si="32"/>
        <v>4.3780278089688389</v>
      </c>
      <c r="AY78" s="61">
        <f t="shared" si="32"/>
        <v>4.3780278089688389</v>
      </c>
      <c r="BA78" s="116" t="str">
        <f t="shared" ca="1" si="20"/>
        <v>Depreciation</v>
      </c>
      <c r="BB78" s="1" t="str">
        <f t="shared" si="21"/>
        <v>Post-vesting depreciation</v>
      </c>
    </row>
    <row r="79" spans="1:54">
      <c r="E79" s="68">
        <v>42825</v>
      </c>
      <c r="G79" s="68" t="str">
        <f t="shared" si="16"/>
        <v>£m 23/24 prices</v>
      </c>
      <c r="I79" s="38">
        <f t="shared" si="17"/>
        <v>222.94979360206582</v>
      </c>
      <c r="J79" s="43" t="s">
        <v>10</v>
      </c>
      <c r="Y79" s="61">
        <f t="shared" ref="Y79:AY79" si="33">IF(AND(YEAR(Y$4)&gt;YEAR($E79),YEAR(Y$4)&lt;(YEAR($E79)+X$17+1)),$I79/X$17,0)</f>
        <v>0</v>
      </c>
      <c r="Z79" s="61">
        <f t="shared" si="33"/>
        <v>0</v>
      </c>
      <c r="AA79" s="61">
        <f t="shared" si="33"/>
        <v>0</v>
      </c>
      <c r="AB79" s="61">
        <f t="shared" si="33"/>
        <v>0</v>
      </c>
      <c r="AC79" s="61">
        <f t="shared" si="33"/>
        <v>0</v>
      </c>
      <c r="AD79" s="61">
        <f t="shared" si="33"/>
        <v>0</v>
      </c>
      <c r="AE79" s="61">
        <f t="shared" si="33"/>
        <v>0</v>
      </c>
      <c r="AF79" s="61">
        <f t="shared" si="33"/>
        <v>0</v>
      </c>
      <c r="AG79" s="61">
        <f t="shared" si="33"/>
        <v>0</v>
      </c>
      <c r="AH79" s="61">
        <f t="shared" si="33"/>
        <v>0</v>
      </c>
      <c r="AI79" s="61">
        <f t="shared" si="33"/>
        <v>0</v>
      </c>
      <c r="AJ79" s="61">
        <f t="shared" si="33"/>
        <v>0</v>
      </c>
      <c r="AK79" s="61">
        <f t="shared" si="33"/>
        <v>0</v>
      </c>
      <c r="AL79" s="61">
        <f t="shared" si="33"/>
        <v>4.9544398578236848</v>
      </c>
      <c r="AM79" s="61">
        <f t="shared" si="33"/>
        <v>4.9544398578236848</v>
      </c>
      <c r="AN79" s="61">
        <f t="shared" si="33"/>
        <v>4.9544398578236848</v>
      </c>
      <c r="AO79" s="61">
        <f t="shared" si="33"/>
        <v>4.9544398578236848</v>
      </c>
      <c r="AP79" s="61">
        <f t="shared" si="33"/>
        <v>4.9544398578236848</v>
      </c>
      <c r="AQ79" s="61">
        <f t="shared" si="33"/>
        <v>4.9544398578236848</v>
      </c>
      <c r="AR79" s="61">
        <f t="shared" si="33"/>
        <v>4.9544398578236848</v>
      </c>
      <c r="AS79" s="61">
        <f t="shared" si="33"/>
        <v>4.9544398578236848</v>
      </c>
      <c r="AT79" s="89">
        <f t="shared" si="33"/>
        <v>4.9544398578236848</v>
      </c>
      <c r="AU79" s="96">
        <f t="shared" si="33"/>
        <v>4.9544398578236848</v>
      </c>
      <c r="AV79" s="61">
        <f t="shared" si="33"/>
        <v>4.9544398578236848</v>
      </c>
      <c r="AW79" s="61">
        <f t="shared" si="33"/>
        <v>4.9544398578236848</v>
      </c>
      <c r="AX79" s="61">
        <f t="shared" si="33"/>
        <v>4.9544398578236848</v>
      </c>
      <c r="AY79" s="61">
        <f t="shared" si="33"/>
        <v>4.9544398578236848</v>
      </c>
      <c r="BA79" s="116" t="str">
        <f t="shared" ca="1" si="20"/>
        <v>Depreciation</v>
      </c>
      <c r="BB79" s="1" t="str">
        <f t="shared" si="21"/>
        <v>Post-vesting depreciation</v>
      </c>
    </row>
    <row r="80" spans="1:54">
      <c r="E80" s="68">
        <v>43190</v>
      </c>
      <c r="G80" s="68" t="str">
        <f t="shared" si="16"/>
        <v>£m 23/24 prices</v>
      </c>
      <c r="I80" s="38">
        <f t="shared" si="17"/>
        <v>283.53902493160496</v>
      </c>
      <c r="J80" s="43" t="s">
        <v>10</v>
      </c>
      <c r="Y80" s="61">
        <f t="shared" ref="Y80:AY80" si="34">IF(AND(YEAR(Y$4)&gt;YEAR($E80),YEAR(Y$4)&lt;(YEAR($E80)+X$17+1)),$I80/X$17,0)</f>
        <v>0</v>
      </c>
      <c r="Z80" s="61">
        <f t="shared" si="34"/>
        <v>0</v>
      </c>
      <c r="AA80" s="61">
        <f t="shared" si="34"/>
        <v>0</v>
      </c>
      <c r="AB80" s="61">
        <f t="shared" si="34"/>
        <v>0</v>
      </c>
      <c r="AC80" s="61">
        <f t="shared" si="34"/>
        <v>0</v>
      </c>
      <c r="AD80" s="61">
        <f t="shared" si="34"/>
        <v>0</v>
      </c>
      <c r="AE80" s="61">
        <f t="shared" si="34"/>
        <v>0</v>
      </c>
      <c r="AF80" s="61">
        <f t="shared" si="34"/>
        <v>0</v>
      </c>
      <c r="AG80" s="61">
        <f t="shared" si="34"/>
        <v>0</v>
      </c>
      <c r="AH80" s="61">
        <f t="shared" si="34"/>
        <v>0</v>
      </c>
      <c r="AI80" s="61">
        <f t="shared" si="34"/>
        <v>0</v>
      </c>
      <c r="AJ80" s="61">
        <f t="shared" si="34"/>
        <v>0</v>
      </c>
      <c r="AK80" s="61">
        <f t="shared" si="34"/>
        <v>0</v>
      </c>
      <c r="AL80" s="61">
        <f t="shared" si="34"/>
        <v>0</v>
      </c>
      <c r="AM80" s="61">
        <f t="shared" si="34"/>
        <v>6.3008672207023322</v>
      </c>
      <c r="AN80" s="61">
        <f t="shared" si="34"/>
        <v>6.3008672207023322</v>
      </c>
      <c r="AO80" s="61">
        <f t="shared" si="34"/>
        <v>6.3008672207023322</v>
      </c>
      <c r="AP80" s="61">
        <f t="shared" si="34"/>
        <v>6.3008672207023322</v>
      </c>
      <c r="AQ80" s="61">
        <f t="shared" si="34"/>
        <v>6.3008672207023322</v>
      </c>
      <c r="AR80" s="61">
        <f t="shared" si="34"/>
        <v>6.3008672207023322</v>
      </c>
      <c r="AS80" s="61">
        <f t="shared" si="34"/>
        <v>6.3008672207023322</v>
      </c>
      <c r="AT80" s="89">
        <f t="shared" si="34"/>
        <v>6.3008672207023322</v>
      </c>
      <c r="AU80" s="96">
        <f t="shared" si="34"/>
        <v>6.3008672207023322</v>
      </c>
      <c r="AV80" s="61">
        <f t="shared" si="34"/>
        <v>6.3008672207023322</v>
      </c>
      <c r="AW80" s="61">
        <f t="shared" si="34"/>
        <v>6.3008672207023322</v>
      </c>
      <c r="AX80" s="61">
        <f t="shared" si="34"/>
        <v>6.3008672207023322</v>
      </c>
      <c r="AY80" s="61">
        <f t="shared" si="34"/>
        <v>6.3008672207023322</v>
      </c>
      <c r="BA80" s="116" t="str">
        <f t="shared" ca="1" si="20"/>
        <v>Depreciation</v>
      </c>
      <c r="BB80" s="1" t="str">
        <f t="shared" si="21"/>
        <v>Post-vesting depreciation</v>
      </c>
    </row>
    <row r="81" spans="1:54">
      <c r="E81" s="68">
        <v>43555</v>
      </c>
      <c r="G81" s="68" t="str">
        <f t="shared" si="16"/>
        <v>£m 23/24 prices</v>
      </c>
      <c r="I81" s="38">
        <f t="shared" si="17"/>
        <v>255.40883536878235</v>
      </c>
      <c r="J81" s="43" t="s">
        <v>10</v>
      </c>
      <c r="Y81" s="61">
        <f t="shared" ref="Y81:AY81" si="35">IF(AND(YEAR(Y$4)&gt;YEAR($E81),YEAR(Y$4)&lt;(YEAR($E81)+X$17+1)),$I81/X$17,0)</f>
        <v>0</v>
      </c>
      <c r="Z81" s="61">
        <f t="shared" si="35"/>
        <v>0</v>
      </c>
      <c r="AA81" s="61">
        <f t="shared" si="35"/>
        <v>0</v>
      </c>
      <c r="AB81" s="61">
        <f t="shared" si="35"/>
        <v>0</v>
      </c>
      <c r="AC81" s="61">
        <f t="shared" si="35"/>
        <v>0</v>
      </c>
      <c r="AD81" s="61">
        <f t="shared" si="35"/>
        <v>0</v>
      </c>
      <c r="AE81" s="61">
        <f t="shared" si="35"/>
        <v>0</v>
      </c>
      <c r="AF81" s="61">
        <f t="shared" si="35"/>
        <v>0</v>
      </c>
      <c r="AG81" s="61">
        <f t="shared" si="35"/>
        <v>0</v>
      </c>
      <c r="AH81" s="61">
        <f t="shared" si="35"/>
        <v>0</v>
      </c>
      <c r="AI81" s="61">
        <f t="shared" si="35"/>
        <v>0</v>
      </c>
      <c r="AJ81" s="61">
        <f t="shared" si="35"/>
        <v>0</v>
      </c>
      <c r="AK81" s="61">
        <f t="shared" si="35"/>
        <v>0</v>
      </c>
      <c r="AL81" s="61">
        <f t="shared" si="35"/>
        <v>0</v>
      </c>
      <c r="AM81" s="61">
        <f t="shared" si="35"/>
        <v>0</v>
      </c>
      <c r="AN81" s="61">
        <f t="shared" si="35"/>
        <v>5.6757518970840524</v>
      </c>
      <c r="AO81" s="61">
        <f t="shared" si="35"/>
        <v>5.6757518970840524</v>
      </c>
      <c r="AP81" s="61">
        <f t="shared" si="35"/>
        <v>5.6757518970840524</v>
      </c>
      <c r="AQ81" s="61">
        <f t="shared" si="35"/>
        <v>5.6757518970840524</v>
      </c>
      <c r="AR81" s="61">
        <f t="shared" si="35"/>
        <v>5.6757518970840524</v>
      </c>
      <c r="AS81" s="61">
        <f t="shared" si="35"/>
        <v>5.6757518970840524</v>
      </c>
      <c r="AT81" s="89">
        <f t="shared" si="35"/>
        <v>5.6757518970840524</v>
      </c>
      <c r="AU81" s="96">
        <f t="shared" si="35"/>
        <v>5.6757518970840524</v>
      </c>
      <c r="AV81" s="61">
        <f t="shared" si="35"/>
        <v>5.6757518970840524</v>
      </c>
      <c r="AW81" s="61">
        <f t="shared" si="35"/>
        <v>5.6757518970840524</v>
      </c>
      <c r="AX81" s="61">
        <f t="shared" si="35"/>
        <v>5.6757518970840524</v>
      </c>
      <c r="AY81" s="61">
        <f t="shared" si="35"/>
        <v>5.6757518970840524</v>
      </c>
      <c r="BA81" s="116" t="str">
        <f t="shared" ca="1" si="20"/>
        <v>Depreciation</v>
      </c>
      <c r="BB81" s="1" t="str">
        <f t="shared" si="21"/>
        <v>Post-vesting depreciation</v>
      </c>
    </row>
    <row r="82" spans="1:54">
      <c r="E82" s="68">
        <v>43921</v>
      </c>
      <c r="G82" s="68" t="str">
        <f t="shared" si="16"/>
        <v>£m 23/24 prices</v>
      </c>
      <c r="I82" s="38">
        <f t="shared" si="17"/>
        <v>215.81535000502981</v>
      </c>
      <c r="J82" s="43" t="s">
        <v>10</v>
      </c>
      <c r="Y82" s="61">
        <f t="shared" ref="Y82:AY82" si="36">IF(AND(YEAR(Y$4)&gt;YEAR($E82),YEAR(Y$4)&lt;(YEAR($E82)+X$17+1)),$I82/X$17,0)</f>
        <v>0</v>
      </c>
      <c r="Z82" s="61">
        <f t="shared" si="36"/>
        <v>0</v>
      </c>
      <c r="AA82" s="61">
        <f t="shared" si="36"/>
        <v>0</v>
      </c>
      <c r="AB82" s="61">
        <f t="shared" si="36"/>
        <v>0</v>
      </c>
      <c r="AC82" s="61">
        <f t="shared" si="36"/>
        <v>0</v>
      </c>
      <c r="AD82" s="61">
        <f t="shared" si="36"/>
        <v>0</v>
      </c>
      <c r="AE82" s="61">
        <f t="shared" si="36"/>
        <v>0</v>
      </c>
      <c r="AF82" s="61">
        <f t="shared" si="36"/>
        <v>0</v>
      </c>
      <c r="AG82" s="61">
        <f t="shared" si="36"/>
        <v>0</v>
      </c>
      <c r="AH82" s="61">
        <f t="shared" si="36"/>
        <v>0</v>
      </c>
      <c r="AI82" s="61">
        <f t="shared" si="36"/>
        <v>0</v>
      </c>
      <c r="AJ82" s="61">
        <f t="shared" si="36"/>
        <v>0</v>
      </c>
      <c r="AK82" s="61">
        <f t="shared" si="36"/>
        <v>0</v>
      </c>
      <c r="AL82" s="61">
        <f t="shared" si="36"/>
        <v>0</v>
      </c>
      <c r="AM82" s="61">
        <f t="shared" si="36"/>
        <v>0</v>
      </c>
      <c r="AN82" s="61">
        <f t="shared" si="36"/>
        <v>0</v>
      </c>
      <c r="AO82" s="61">
        <f t="shared" si="36"/>
        <v>4.7958966667784404</v>
      </c>
      <c r="AP82" s="61">
        <f t="shared" si="36"/>
        <v>4.7958966667784404</v>
      </c>
      <c r="AQ82" s="61">
        <f t="shared" si="36"/>
        <v>4.7958966667784404</v>
      </c>
      <c r="AR82" s="61">
        <f t="shared" si="36"/>
        <v>4.7958966667784404</v>
      </c>
      <c r="AS82" s="61">
        <f t="shared" si="36"/>
        <v>4.7958966667784404</v>
      </c>
      <c r="AT82" s="89">
        <f t="shared" si="36"/>
        <v>4.7958966667784404</v>
      </c>
      <c r="AU82" s="96">
        <f t="shared" si="36"/>
        <v>4.7958966667784404</v>
      </c>
      <c r="AV82" s="61">
        <f t="shared" si="36"/>
        <v>4.7958966667784404</v>
      </c>
      <c r="AW82" s="61">
        <f t="shared" si="36"/>
        <v>4.7958966667784404</v>
      </c>
      <c r="AX82" s="61">
        <f t="shared" si="36"/>
        <v>4.7958966667784404</v>
      </c>
      <c r="AY82" s="61">
        <f t="shared" si="36"/>
        <v>4.7958966667784404</v>
      </c>
      <c r="BA82" s="116" t="str">
        <f t="shared" ca="1" si="20"/>
        <v>Depreciation</v>
      </c>
      <c r="BB82" s="1" t="str">
        <f t="shared" si="21"/>
        <v>Post-vesting depreciation</v>
      </c>
    </row>
    <row r="83" spans="1:54">
      <c r="E83" s="68">
        <v>44286</v>
      </c>
      <c r="G83" s="68" t="str">
        <f t="shared" si="16"/>
        <v>£m 23/24 prices</v>
      </c>
      <c r="I83" s="38">
        <f t="shared" si="17"/>
        <v>179.7363984175511</v>
      </c>
      <c r="J83" s="43" t="s">
        <v>10</v>
      </c>
      <c r="Y83" s="61">
        <f t="shared" ref="Y83:AY83" si="37">IF(AND(YEAR(Y$4)&gt;YEAR($E83),YEAR(Y$4)&lt;(YEAR($E83)+X$17+1)),$I83/X$17,0)</f>
        <v>0</v>
      </c>
      <c r="Z83" s="61">
        <f t="shared" si="37"/>
        <v>0</v>
      </c>
      <c r="AA83" s="61">
        <f t="shared" si="37"/>
        <v>0</v>
      </c>
      <c r="AB83" s="61">
        <f t="shared" si="37"/>
        <v>0</v>
      </c>
      <c r="AC83" s="61">
        <f t="shared" si="37"/>
        <v>0</v>
      </c>
      <c r="AD83" s="61">
        <f t="shared" si="37"/>
        <v>0</v>
      </c>
      <c r="AE83" s="61">
        <f t="shared" si="37"/>
        <v>0</v>
      </c>
      <c r="AF83" s="61">
        <f t="shared" si="37"/>
        <v>0</v>
      </c>
      <c r="AG83" s="61">
        <f t="shared" si="37"/>
        <v>0</v>
      </c>
      <c r="AH83" s="61">
        <f t="shared" si="37"/>
        <v>0</v>
      </c>
      <c r="AI83" s="61">
        <f t="shared" si="37"/>
        <v>0</v>
      </c>
      <c r="AJ83" s="61">
        <f t="shared" si="37"/>
        <v>0</v>
      </c>
      <c r="AK83" s="61">
        <f t="shared" si="37"/>
        <v>0</v>
      </c>
      <c r="AL83" s="61">
        <f t="shared" si="37"/>
        <v>0</v>
      </c>
      <c r="AM83" s="61">
        <f t="shared" si="37"/>
        <v>0</v>
      </c>
      <c r="AN83" s="61">
        <f t="shared" si="37"/>
        <v>0</v>
      </c>
      <c r="AO83" s="61">
        <f t="shared" si="37"/>
        <v>0</v>
      </c>
      <c r="AP83" s="61">
        <f t="shared" si="37"/>
        <v>3.9941421870566911</v>
      </c>
      <c r="AQ83" s="61">
        <f t="shared" si="37"/>
        <v>3.9941421870566911</v>
      </c>
      <c r="AR83" s="61">
        <f t="shared" si="37"/>
        <v>3.9941421870566911</v>
      </c>
      <c r="AS83" s="61">
        <f t="shared" si="37"/>
        <v>3.9941421870566911</v>
      </c>
      <c r="AT83" s="89">
        <f t="shared" si="37"/>
        <v>3.9941421870566911</v>
      </c>
      <c r="AU83" s="96">
        <f t="shared" si="37"/>
        <v>3.9941421870566911</v>
      </c>
      <c r="AV83" s="61">
        <f t="shared" si="37"/>
        <v>3.9941421870566911</v>
      </c>
      <c r="AW83" s="61">
        <f t="shared" si="37"/>
        <v>3.9941421870566911</v>
      </c>
      <c r="AX83" s="61">
        <f t="shared" si="37"/>
        <v>3.9941421870566911</v>
      </c>
      <c r="AY83" s="61">
        <f t="shared" si="37"/>
        <v>3.9941421870566911</v>
      </c>
      <c r="BA83" s="116" t="str">
        <f t="shared" ca="1" si="20"/>
        <v>Depreciation</v>
      </c>
      <c r="BB83" s="1" t="str">
        <f t="shared" si="21"/>
        <v>Post-vesting depreciation</v>
      </c>
    </row>
    <row r="84" spans="1:54">
      <c r="E84" s="68">
        <v>44651</v>
      </c>
      <c r="G84" s="68" t="str">
        <f t="shared" si="16"/>
        <v>£m 23/24 prices</v>
      </c>
      <c r="I84" s="38">
        <f t="shared" si="17"/>
        <v>245.42931155302847</v>
      </c>
      <c r="J84" s="43" t="s">
        <v>10</v>
      </c>
      <c r="Y84" s="61">
        <f t="shared" ref="Y84:AY84" si="38">IF(AND(YEAR(Y$4)&gt;YEAR($E84),YEAR(Y$4)&lt;(YEAR($E84)+X$17+1)),$I84/X$17,0)</f>
        <v>0</v>
      </c>
      <c r="Z84" s="61">
        <f t="shared" si="38"/>
        <v>0</v>
      </c>
      <c r="AA84" s="61">
        <f t="shared" si="38"/>
        <v>0</v>
      </c>
      <c r="AB84" s="61">
        <f t="shared" si="38"/>
        <v>0</v>
      </c>
      <c r="AC84" s="61">
        <f t="shared" si="38"/>
        <v>0</v>
      </c>
      <c r="AD84" s="61">
        <f t="shared" si="38"/>
        <v>0</v>
      </c>
      <c r="AE84" s="61">
        <f t="shared" si="38"/>
        <v>0</v>
      </c>
      <c r="AF84" s="61">
        <f t="shared" si="38"/>
        <v>0</v>
      </c>
      <c r="AG84" s="61">
        <f t="shared" si="38"/>
        <v>0</v>
      </c>
      <c r="AH84" s="61">
        <f t="shared" si="38"/>
        <v>0</v>
      </c>
      <c r="AI84" s="61">
        <f t="shared" si="38"/>
        <v>0</v>
      </c>
      <c r="AJ84" s="61">
        <f t="shared" si="38"/>
        <v>0</v>
      </c>
      <c r="AK84" s="61">
        <f t="shared" si="38"/>
        <v>0</v>
      </c>
      <c r="AL84" s="61">
        <f t="shared" si="38"/>
        <v>0</v>
      </c>
      <c r="AM84" s="61">
        <f t="shared" si="38"/>
        <v>0</v>
      </c>
      <c r="AN84" s="61">
        <f t="shared" si="38"/>
        <v>0</v>
      </c>
      <c r="AO84" s="61">
        <f t="shared" si="38"/>
        <v>0</v>
      </c>
      <c r="AP84" s="61">
        <f t="shared" si="38"/>
        <v>0</v>
      </c>
      <c r="AQ84" s="61">
        <f t="shared" si="38"/>
        <v>5.4539847011784106</v>
      </c>
      <c r="AR84" s="61">
        <f t="shared" si="38"/>
        <v>5.4539847011784106</v>
      </c>
      <c r="AS84" s="61">
        <f t="shared" si="38"/>
        <v>5.4539847011784106</v>
      </c>
      <c r="AT84" s="89">
        <f t="shared" si="38"/>
        <v>5.4539847011784106</v>
      </c>
      <c r="AU84" s="96">
        <f t="shared" si="38"/>
        <v>5.4539847011784106</v>
      </c>
      <c r="AV84" s="61">
        <f t="shared" si="38"/>
        <v>5.4539847011784106</v>
      </c>
      <c r="AW84" s="61">
        <f t="shared" si="38"/>
        <v>5.4539847011784106</v>
      </c>
      <c r="AX84" s="61">
        <f t="shared" si="38"/>
        <v>5.4539847011784106</v>
      </c>
      <c r="AY84" s="61">
        <f t="shared" si="38"/>
        <v>5.4539847011784106</v>
      </c>
      <c r="BA84" s="116" t="str">
        <f t="shared" ca="1" si="20"/>
        <v>Depreciation</v>
      </c>
      <c r="BB84" s="1" t="str">
        <f t="shared" si="21"/>
        <v>Post-vesting depreciation</v>
      </c>
    </row>
    <row r="85" spans="1:54">
      <c r="E85" s="68">
        <v>45016</v>
      </c>
      <c r="G85" s="68" t="str">
        <f t="shared" si="16"/>
        <v>£m 23/24 prices</v>
      </c>
      <c r="I85" s="38">
        <f t="shared" si="17"/>
        <v>301.12844749196552</v>
      </c>
      <c r="J85" s="43" t="s">
        <v>10</v>
      </c>
      <c r="Y85" s="61">
        <f t="shared" ref="Y85:AY85" si="39">IF(AND(YEAR(Y$4)&gt;YEAR($E85),YEAR(Y$4)&lt;(YEAR($E85)+X$17+1)),$I85/X$17,0)</f>
        <v>0</v>
      </c>
      <c r="Z85" s="61">
        <f t="shared" si="39"/>
        <v>0</v>
      </c>
      <c r="AA85" s="61">
        <f t="shared" si="39"/>
        <v>0</v>
      </c>
      <c r="AB85" s="61">
        <f t="shared" si="39"/>
        <v>0</v>
      </c>
      <c r="AC85" s="61">
        <f t="shared" si="39"/>
        <v>0</v>
      </c>
      <c r="AD85" s="61">
        <f t="shared" si="39"/>
        <v>0</v>
      </c>
      <c r="AE85" s="61">
        <f t="shared" si="39"/>
        <v>0</v>
      </c>
      <c r="AF85" s="61">
        <f t="shared" si="39"/>
        <v>0</v>
      </c>
      <c r="AG85" s="61">
        <f t="shared" si="39"/>
        <v>0</v>
      </c>
      <c r="AH85" s="61">
        <f t="shared" si="39"/>
        <v>0</v>
      </c>
      <c r="AI85" s="61">
        <f t="shared" si="39"/>
        <v>0</v>
      </c>
      <c r="AJ85" s="61">
        <f t="shared" si="39"/>
        <v>0</v>
      </c>
      <c r="AK85" s="61">
        <f t="shared" si="39"/>
        <v>0</v>
      </c>
      <c r="AL85" s="61">
        <f t="shared" si="39"/>
        <v>0</v>
      </c>
      <c r="AM85" s="61">
        <f t="shared" si="39"/>
        <v>0</v>
      </c>
      <c r="AN85" s="61">
        <f t="shared" si="39"/>
        <v>0</v>
      </c>
      <c r="AO85" s="61">
        <f t="shared" si="39"/>
        <v>0</v>
      </c>
      <c r="AP85" s="61">
        <f t="shared" si="39"/>
        <v>0</v>
      </c>
      <c r="AQ85" s="61">
        <f t="shared" si="39"/>
        <v>0</v>
      </c>
      <c r="AR85" s="61">
        <f t="shared" si="39"/>
        <v>6.691743277599234</v>
      </c>
      <c r="AS85" s="61">
        <f t="shared" si="39"/>
        <v>6.691743277599234</v>
      </c>
      <c r="AT85" s="89">
        <f t="shared" si="39"/>
        <v>6.691743277599234</v>
      </c>
      <c r="AU85" s="96">
        <f t="shared" si="39"/>
        <v>6.691743277599234</v>
      </c>
      <c r="AV85" s="61">
        <f t="shared" si="39"/>
        <v>6.691743277599234</v>
      </c>
      <c r="AW85" s="61">
        <f t="shared" si="39"/>
        <v>6.691743277599234</v>
      </c>
      <c r="AX85" s="61">
        <f t="shared" si="39"/>
        <v>6.691743277599234</v>
      </c>
      <c r="AY85" s="61">
        <f t="shared" si="39"/>
        <v>6.691743277599234</v>
      </c>
      <c r="BA85" s="116" t="str">
        <f t="shared" ca="1" si="20"/>
        <v>Depreciation</v>
      </c>
      <c r="BB85" s="1" t="str">
        <f t="shared" si="21"/>
        <v>Post-vesting depreciation</v>
      </c>
    </row>
    <row r="86" spans="1:54">
      <c r="E86" s="68">
        <v>45382</v>
      </c>
      <c r="G86" s="68" t="str">
        <f t="shared" si="16"/>
        <v>£m 23/24 prices</v>
      </c>
      <c r="I86" s="38">
        <f t="shared" si="17"/>
        <v>345.04101302096547</v>
      </c>
      <c r="J86" s="43" t="s">
        <v>10</v>
      </c>
      <c r="Y86" s="61">
        <f t="shared" ref="Y86:AY86" si="40">IF(AND(YEAR(Y$4)&gt;YEAR($E86),YEAR(Y$4)&lt;(YEAR($E86)+X$17+1)),$I86/X$17,0)</f>
        <v>0</v>
      </c>
      <c r="Z86" s="61">
        <f t="shared" si="40"/>
        <v>0</v>
      </c>
      <c r="AA86" s="61">
        <f t="shared" si="40"/>
        <v>0</v>
      </c>
      <c r="AB86" s="61">
        <f t="shared" si="40"/>
        <v>0</v>
      </c>
      <c r="AC86" s="61">
        <f t="shared" si="40"/>
        <v>0</v>
      </c>
      <c r="AD86" s="61">
        <f t="shared" si="40"/>
        <v>0</v>
      </c>
      <c r="AE86" s="61">
        <f t="shared" si="40"/>
        <v>0</v>
      </c>
      <c r="AF86" s="61">
        <f t="shared" si="40"/>
        <v>0</v>
      </c>
      <c r="AG86" s="61">
        <f t="shared" si="40"/>
        <v>0</v>
      </c>
      <c r="AH86" s="61">
        <f t="shared" si="40"/>
        <v>0</v>
      </c>
      <c r="AI86" s="61">
        <f t="shared" si="40"/>
        <v>0</v>
      </c>
      <c r="AJ86" s="61">
        <f t="shared" si="40"/>
        <v>0</v>
      </c>
      <c r="AK86" s="61">
        <f t="shared" si="40"/>
        <v>0</v>
      </c>
      <c r="AL86" s="61">
        <f t="shared" si="40"/>
        <v>0</v>
      </c>
      <c r="AM86" s="61">
        <f t="shared" si="40"/>
        <v>0</v>
      </c>
      <c r="AN86" s="61">
        <f t="shared" si="40"/>
        <v>0</v>
      </c>
      <c r="AO86" s="61">
        <f t="shared" si="40"/>
        <v>0</v>
      </c>
      <c r="AP86" s="61">
        <f t="shared" si="40"/>
        <v>0</v>
      </c>
      <c r="AQ86" s="61">
        <f t="shared" si="40"/>
        <v>0</v>
      </c>
      <c r="AR86" s="61">
        <f t="shared" si="40"/>
        <v>0</v>
      </c>
      <c r="AS86" s="61">
        <f t="shared" si="40"/>
        <v>7.667578067132566</v>
      </c>
      <c r="AT86" s="89">
        <f t="shared" si="40"/>
        <v>7.667578067132566</v>
      </c>
      <c r="AU86" s="96">
        <f t="shared" si="40"/>
        <v>7.667578067132566</v>
      </c>
      <c r="AV86" s="61">
        <f t="shared" si="40"/>
        <v>7.667578067132566</v>
      </c>
      <c r="AW86" s="61">
        <f t="shared" si="40"/>
        <v>7.667578067132566</v>
      </c>
      <c r="AX86" s="61">
        <f t="shared" si="40"/>
        <v>7.667578067132566</v>
      </c>
      <c r="AY86" s="61">
        <f t="shared" si="40"/>
        <v>7.667578067132566</v>
      </c>
      <c r="BA86" s="116" t="str">
        <f t="shared" ca="1" si="20"/>
        <v>Depreciation</v>
      </c>
      <c r="BB86" s="1" t="str">
        <f t="shared" si="21"/>
        <v>Post-vesting depreciation</v>
      </c>
    </row>
    <row r="87" spans="1:54">
      <c r="E87" s="68">
        <v>45747</v>
      </c>
      <c r="G87" s="68" t="str">
        <f t="shared" si="16"/>
        <v>£m 23/24 prices</v>
      </c>
      <c r="I87" s="38">
        <f t="shared" si="17"/>
        <v>422.9336722196291</v>
      </c>
      <c r="J87" s="43" t="s">
        <v>10</v>
      </c>
      <c r="Y87" s="61">
        <f t="shared" ref="Y87:AY87" si="41">IF(AND(YEAR(Y$4)&gt;YEAR($E87),YEAR(Y$4)&lt;(YEAR($E87)+X$17+1)),$I87/X$17,0)</f>
        <v>0</v>
      </c>
      <c r="Z87" s="61">
        <f t="shared" si="41"/>
        <v>0</v>
      </c>
      <c r="AA87" s="61">
        <f t="shared" si="41"/>
        <v>0</v>
      </c>
      <c r="AB87" s="61">
        <f t="shared" si="41"/>
        <v>0</v>
      </c>
      <c r="AC87" s="61">
        <f t="shared" si="41"/>
        <v>0</v>
      </c>
      <c r="AD87" s="61">
        <f t="shared" si="41"/>
        <v>0</v>
      </c>
      <c r="AE87" s="61">
        <f t="shared" si="41"/>
        <v>0</v>
      </c>
      <c r="AF87" s="61">
        <f t="shared" si="41"/>
        <v>0</v>
      </c>
      <c r="AG87" s="61">
        <f t="shared" si="41"/>
        <v>0</v>
      </c>
      <c r="AH87" s="61">
        <f t="shared" si="41"/>
        <v>0</v>
      </c>
      <c r="AI87" s="61">
        <f t="shared" si="41"/>
        <v>0</v>
      </c>
      <c r="AJ87" s="61">
        <f t="shared" si="41"/>
        <v>0</v>
      </c>
      <c r="AK87" s="61">
        <f t="shared" si="41"/>
        <v>0</v>
      </c>
      <c r="AL87" s="61">
        <f t="shared" si="41"/>
        <v>0</v>
      </c>
      <c r="AM87" s="61">
        <f t="shared" si="41"/>
        <v>0</v>
      </c>
      <c r="AN87" s="61">
        <f t="shared" si="41"/>
        <v>0</v>
      </c>
      <c r="AO87" s="61">
        <f t="shared" si="41"/>
        <v>0</v>
      </c>
      <c r="AP87" s="61">
        <f t="shared" si="41"/>
        <v>0</v>
      </c>
      <c r="AQ87" s="61">
        <f t="shared" si="41"/>
        <v>0</v>
      </c>
      <c r="AR87" s="61">
        <f t="shared" si="41"/>
        <v>0</v>
      </c>
      <c r="AS87" s="61">
        <f t="shared" si="41"/>
        <v>0</v>
      </c>
      <c r="AT87" s="89">
        <f t="shared" si="41"/>
        <v>9.3985260493250919</v>
      </c>
      <c r="AU87" s="96">
        <f t="shared" si="41"/>
        <v>9.3985260493250919</v>
      </c>
      <c r="AV87" s="61">
        <f t="shared" si="41"/>
        <v>9.3985260493250919</v>
      </c>
      <c r="AW87" s="61">
        <f t="shared" si="41"/>
        <v>9.3985260493250919</v>
      </c>
      <c r="AX87" s="61">
        <f t="shared" si="41"/>
        <v>9.3985260493250919</v>
      </c>
      <c r="AY87" s="61">
        <f t="shared" si="41"/>
        <v>9.3985260493250919</v>
      </c>
      <c r="BA87" s="116" t="str">
        <f t="shared" ca="1" si="20"/>
        <v>Depreciation</v>
      </c>
      <c r="BB87" s="1" t="str">
        <f t="shared" si="21"/>
        <v>Post-vesting depreciation</v>
      </c>
    </row>
    <row r="88" spans="1:54">
      <c r="E88" s="68">
        <v>46112</v>
      </c>
      <c r="G88" s="68" t="str">
        <f t="shared" si="16"/>
        <v>£m 23/24 prices</v>
      </c>
      <c r="I88" s="38">
        <f t="shared" si="17"/>
        <v>562.17788436111846</v>
      </c>
      <c r="J88" s="43" t="s">
        <v>10</v>
      </c>
      <c r="Y88" s="61">
        <f t="shared" ref="Y88:AY88" si="42">IF(AND(YEAR(Y$4)&gt;YEAR($E88),YEAR(Y$4)&lt;(YEAR($E88)+X$17+1)),$I88/X$17,0)</f>
        <v>0</v>
      </c>
      <c r="Z88" s="61">
        <f t="shared" si="42"/>
        <v>0</v>
      </c>
      <c r="AA88" s="61">
        <f t="shared" si="42"/>
        <v>0</v>
      </c>
      <c r="AB88" s="61">
        <f t="shared" si="42"/>
        <v>0</v>
      </c>
      <c r="AC88" s="61">
        <f t="shared" si="42"/>
        <v>0</v>
      </c>
      <c r="AD88" s="61">
        <f t="shared" si="42"/>
        <v>0</v>
      </c>
      <c r="AE88" s="61">
        <f t="shared" si="42"/>
        <v>0</v>
      </c>
      <c r="AF88" s="61">
        <f t="shared" si="42"/>
        <v>0</v>
      </c>
      <c r="AG88" s="61">
        <f t="shared" si="42"/>
        <v>0</v>
      </c>
      <c r="AH88" s="61">
        <f t="shared" si="42"/>
        <v>0</v>
      </c>
      <c r="AI88" s="61">
        <f t="shared" si="42"/>
        <v>0</v>
      </c>
      <c r="AJ88" s="61">
        <f t="shared" si="42"/>
        <v>0</v>
      </c>
      <c r="AK88" s="61">
        <f t="shared" si="42"/>
        <v>0</v>
      </c>
      <c r="AL88" s="61">
        <f t="shared" si="42"/>
        <v>0</v>
      </c>
      <c r="AM88" s="61">
        <f t="shared" si="42"/>
        <v>0</v>
      </c>
      <c r="AN88" s="61">
        <f t="shared" si="42"/>
        <v>0</v>
      </c>
      <c r="AO88" s="61">
        <f t="shared" si="42"/>
        <v>0</v>
      </c>
      <c r="AP88" s="61">
        <f t="shared" si="42"/>
        <v>0</v>
      </c>
      <c r="AQ88" s="61">
        <f t="shared" si="42"/>
        <v>0</v>
      </c>
      <c r="AR88" s="61">
        <f t="shared" si="42"/>
        <v>0</v>
      </c>
      <c r="AS88" s="61">
        <f t="shared" si="42"/>
        <v>0</v>
      </c>
      <c r="AT88" s="89">
        <f t="shared" si="42"/>
        <v>0</v>
      </c>
      <c r="AU88" s="96">
        <f t="shared" si="42"/>
        <v>12.492841874691521</v>
      </c>
      <c r="AV88" s="61">
        <f t="shared" si="42"/>
        <v>12.492841874691521</v>
      </c>
      <c r="AW88" s="61">
        <f t="shared" si="42"/>
        <v>12.492841874691521</v>
      </c>
      <c r="AX88" s="61">
        <f t="shared" si="42"/>
        <v>12.492841874691521</v>
      </c>
      <c r="AY88" s="61">
        <f t="shared" si="42"/>
        <v>12.492841874691521</v>
      </c>
      <c r="BA88" s="116" t="str">
        <f t="shared" ca="1" si="20"/>
        <v>Depreciation</v>
      </c>
      <c r="BB88" s="1" t="str">
        <f t="shared" si="21"/>
        <v>Post-vesting depreciation</v>
      </c>
    </row>
    <row r="89" spans="1:54">
      <c r="E89" s="68">
        <v>46477</v>
      </c>
      <c r="G89" t="str">
        <f t="shared" si="16"/>
        <v>£m 23/24 prices</v>
      </c>
      <c r="I89" s="38">
        <f t="shared" si="17"/>
        <v>610.32696289633566</v>
      </c>
      <c r="J89" s="43" t="s">
        <v>10</v>
      </c>
      <c r="Y89" s="61">
        <f t="shared" ref="Y89:AY89" si="43">IF(AND(YEAR(Y$4)&gt;YEAR($E89),YEAR(Y$4)&lt;(YEAR($E89)+X$17+1)),$I89/X$17,0)</f>
        <v>0</v>
      </c>
      <c r="Z89" s="61">
        <f t="shared" si="43"/>
        <v>0</v>
      </c>
      <c r="AA89" s="61">
        <f t="shared" si="43"/>
        <v>0</v>
      </c>
      <c r="AB89" s="61">
        <f t="shared" si="43"/>
        <v>0</v>
      </c>
      <c r="AC89" s="61">
        <f t="shared" si="43"/>
        <v>0</v>
      </c>
      <c r="AD89" s="61">
        <f t="shared" si="43"/>
        <v>0</v>
      </c>
      <c r="AE89" s="61">
        <f t="shared" si="43"/>
        <v>0</v>
      </c>
      <c r="AF89" s="61">
        <f t="shared" si="43"/>
        <v>0</v>
      </c>
      <c r="AG89" s="61">
        <f t="shared" si="43"/>
        <v>0</v>
      </c>
      <c r="AH89" s="61">
        <f t="shared" si="43"/>
        <v>0</v>
      </c>
      <c r="AI89" s="61">
        <f t="shared" si="43"/>
        <v>0</v>
      </c>
      <c r="AJ89" s="61">
        <f t="shared" si="43"/>
        <v>0</v>
      </c>
      <c r="AK89" s="61">
        <f t="shared" si="43"/>
        <v>0</v>
      </c>
      <c r="AL89" s="61">
        <f t="shared" si="43"/>
        <v>0</v>
      </c>
      <c r="AM89" s="61">
        <f t="shared" si="43"/>
        <v>0</v>
      </c>
      <c r="AN89" s="61">
        <f t="shared" si="43"/>
        <v>0</v>
      </c>
      <c r="AO89" s="61">
        <f t="shared" si="43"/>
        <v>0</v>
      </c>
      <c r="AP89" s="61">
        <f t="shared" si="43"/>
        <v>0</v>
      </c>
      <c r="AQ89" s="61">
        <f t="shared" si="43"/>
        <v>0</v>
      </c>
      <c r="AR89" s="61">
        <f t="shared" si="43"/>
        <v>0</v>
      </c>
      <c r="AS89" s="61">
        <f t="shared" si="43"/>
        <v>0</v>
      </c>
      <c r="AT89" s="89">
        <f t="shared" si="43"/>
        <v>0</v>
      </c>
      <c r="AU89" s="96">
        <f t="shared" si="43"/>
        <v>0</v>
      </c>
      <c r="AV89" s="61">
        <f t="shared" si="43"/>
        <v>13.562821397696348</v>
      </c>
      <c r="AW89" s="61">
        <f t="shared" si="43"/>
        <v>13.562821397696348</v>
      </c>
      <c r="AX89" s="61">
        <f t="shared" si="43"/>
        <v>13.562821397696348</v>
      </c>
      <c r="AY89" s="61">
        <f t="shared" si="43"/>
        <v>13.562821397696348</v>
      </c>
      <c r="BA89" s="116" t="str">
        <f t="shared" ca="1" si="20"/>
        <v>Depreciation</v>
      </c>
      <c r="BB89" s="1" t="str">
        <f t="shared" si="21"/>
        <v>Post-vesting depreciation</v>
      </c>
    </row>
    <row r="90" spans="1:54">
      <c r="E90" s="68">
        <v>46843</v>
      </c>
      <c r="G90" t="str">
        <f t="shared" si="16"/>
        <v>£m 23/24 prices</v>
      </c>
      <c r="I90" s="38">
        <f t="shared" si="17"/>
        <v>804.32395022820799</v>
      </c>
      <c r="J90" s="43" t="s">
        <v>10</v>
      </c>
      <c r="Y90" s="61">
        <f t="shared" ref="Y90:AY90" si="44">IF(AND(YEAR(Y$4)&gt;YEAR($E90),YEAR(Y$4)&lt;(YEAR($E90)+X$17+1)),$I90/X$17,0)</f>
        <v>0</v>
      </c>
      <c r="Z90" s="61">
        <f t="shared" si="44"/>
        <v>0</v>
      </c>
      <c r="AA90" s="61">
        <f t="shared" si="44"/>
        <v>0</v>
      </c>
      <c r="AB90" s="61">
        <f t="shared" si="44"/>
        <v>0</v>
      </c>
      <c r="AC90" s="61">
        <f t="shared" si="44"/>
        <v>0</v>
      </c>
      <c r="AD90" s="61">
        <f t="shared" si="44"/>
        <v>0</v>
      </c>
      <c r="AE90" s="61">
        <f t="shared" si="44"/>
        <v>0</v>
      </c>
      <c r="AF90" s="61">
        <f t="shared" si="44"/>
        <v>0</v>
      </c>
      <c r="AG90" s="61">
        <f t="shared" si="44"/>
        <v>0</v>
      </c>
      <c r="AH90" s="61">
        <f t="shared" si="44"/>
        <v>0</v>
      </c>
      <c r="AI90" s="61">
        <f t="shared" si="44"/>
        <v>0</v>
      </c>
      <c r="AJ90" s="61">
        <f t="shared" si="44"/>
        <v>0</v>
      </c>
      <c r="AK90" s="61">
        <f t="shared" si="44"/>
        <v>0</v>
      </c>
      <c r="AL90" s="61">
        <f t="shared" si="44"/>
        <v>0</v>
      </c>
      <c r="AM90" s="61">
        <f t="shared" si="44"/>
        <v>0</v>
      </c>
      <c r="AN90" s="61">
        <f t="shared" si="44"/>
        <v>0</v>
      </c>
      <c r="AO90" s="61">
        <f t="shared" si="44"/>
        <v>0</v>
      </c>
      <c r="AP90" s="61">
        <f t="shared" si="44"/>
        <v>0</v>
      </c>
      <c r="AQ90" s="61">
        <f t="shared" si="44"/>
        <v>0</v>
      </c>
      <c r="AR90" s="61">
        <f t="shared" si="44"/>
        <v>0</v>
      </c>
      <c r="AS90" s="61">
        <f t="shared" si="44"/>
        <v>0</v>
      </c>
      <c r="AT90" s="89">
        <f t="shared" si="44"/>
        <v>0</v>
      </c>
      <c r="AU90" s="96">
        <f t="shared" si="44"/>
        <v>0</v>
      </c>
      <c r="AV90" s="61">
        <f t="shared" si="44"/>
        <v>0</v>
      </c>
      <c r="AW90" s="61">
        <f t="shared" si="44"/>
        <v>17.873865560626843</v>
      </c>
      <c r="AX90" s="61">
        <f t="shared" si="44"/>
        <v>17.873865560626843</v>
      </c>
      <c r="AY90" s="61">
        <f t="shared" si="44"/>
        <v>17.873865560626843</v>
      </c>
      <c r="BA90" s="116" t="str">
        <f t="shared" ca="1" si="20"/>
        <v>Depreciation</v>
      </c>
      <c r="BB90" s="1" t="str">
        <f t="shared" si="21"/>
        <v>Post-vesting depreciation</v>
      </c>
    </row>
    <row r="91" spans="1:54">
      <c r="E91" s="68">
        <v>47208</v>
      </c>
      <c r="G91" t="str">
        <f t="shared" si="16"/>
        <v>£m 23/24 prices</v>
      </c>
      <c r="I91" s="38">
        <f t="shared" si="17"/>
        <v>842.59757472298156</v>
      </c>
      <c r="J91" s="43" t="s">
        <v>10</v>
      </c>
      <c r="Y91" s="61">
        <f t="shared" ref="Y91:AY91" si="45">IF(AND(YEAR(Y$4)&gt;YEAR($E91),YEAR(Y$4)&lt;(YEAR($E91)+X$17+1)),$I91/X$17,0)</f>
        <v>0</v>
      </c>
      <c r="Z91" s="61">
        <f t="shared" si="45"/>
        <v>0</v>
      </c>
      <c r="AA91" s="61">
        <f t="shared" si="45"/>
        <v>0</v>
      </c>
      <c r="AB91" s="61">
        <f t="shared" si="45"/>
        <v>0</v>
      </c>
      <c r="AC91" s="61">
        <f t="shared" si="45"/>
        <v>0</v>
      </c>
      <c r="AD91" s="61">
        <f t="shared" si="45"/>
        <v>0</v>
      </c>
      <c r="AE91" s="61">
        <f t="shared" si="45"/>
        <v>0</v>
      </c>
      <c r="AF91" s="61">
        <f t="shared" si="45"/>
        <v>0</v>
      </c>
      <c r="AG91" s="61">
        <f t="shared" si="45"/>
        <v>0</v>
      </c>
      <c r="AH91" s="61">
        <f t="shared" si="45"/>
        <v>0</v>
      </c>
      <c r="AI91" s="61">
        <f t="shared" si="45"/>
        <v>0</v>
      </c>
      <c r="AJ91" s="61">
        <f t="shared" si="45"/>
        <v>0</v>
      </c>
      <c r="AK91" s="61">
        <f t="shared" si="45"/>
        <v>0</v>
      </c>
      <c r="AL91" s="61">
        <f t="shared" si="45"/>
        <v>0</v>
      </c>
      <c r="AM91" s="61">
        <f t="shared" si="45"/>
        <v>0</v>
      </c>
      <c r="AN91" s="61">
        <f t="shared" si="45"/>
        <v>0</v>
      </c>
      <c r="AO91" s="61">
        <f t="shared" si="45"/>
        <v>0</v>
      </c>
      <c r="AP91" s="61">
        <f t="shared" si="45"/>
        <v>0</v>
      </c>
      <c r="AQ91" s="61">
        <f t="shared" si="45"/>
        <v>0</v>
      </c>
      <c r="AR91" s="61">
        <f t="shared" si="45"/>
        <v>0</v>
      </c>
      <c r="AS91" s="61">
        <f t="shared" si="45"/>
        <v>0</v>
      </c>
      <c r="AT91" s="89">
        <f t="shared" si="45"/>
        <v>0</v>
      </c>
      <c r="AU91" s="96">
        <f t="shared" si="45"/>
        <v>0</v>
      </c>
      <c r="AV91" s="61">
        <f t="shared" si="45"/>
        <v>0</v>
      </c>
      <c r="AW91" s="61">
        <f t="shared" si="45"/>
        <v>0</v>
      </c>
      <c r="AX91" s="61">
        <f t="shared" si="45"/>
        <v>18.72439054939959</v>
      </c>
      <c r="AY91" s="61">
        <f t="shared" si="45"/>
        <v>18.72439054939959</v>
      </c>
      <c r="BA91" s="116" t="str">
        <f t="shared" ca="1" si="20"/>
        <v>Depreciation</v>
      </c>
      <c r="BB91" s="1" t="str">
        <f t="shared" si="21"/>
        <v>Post-vesting depreciation</v>
      </c>
    </row>
    <row r="92" spans="1:54">
      <c r="E92" s="68">
        <v>47573</v>
      </c>
      <c r="G92" t="str">
        <f t="shared" si="16"/>
        <v>£m 23/24 prices</v>
      </c>
      <c r="I92" s="38">
        <f t="shared" si="17"/>
        <v>590.63589986764418</v>
      </c>
      <c r="J92" s="43" t="s">
        <v>10</v>
      </c>
      <c r="Y92" s="61">
        <f t="shared" ref="Y92:AY92" si="46">IF(AND(YEAR(Y$4)&gt;YEAR($E92),YEAR(Y$4)&lt;(YEAR($E92)+X$17+1)),$I92/X$17,0)</f>
        <v>0</v>
      </c>
      <c r="Z92" s="61">
        <f t="shared" si="46"/>
        <v>0</v>
      </c>
      <c r="AA92" s="61">
        <f t="shared" si="46"/>
        <v>0</v>
      </c>
      <c r="AB92" s="61">
        <f t="shared" si="46"/>
        <v>0</v>
      </c>
      <c r="AC92" s="61">
        <f t="shared" si="46"/>
        <v>0</v>
      </c>
      <c r="AD92" s="61">
        <f t="shared" si="46"/>
        <v>0</v>
      </c>
      <c r="AE92" s="61">
        <f t="shared" si="46"/>
        <v>0</v>
      </c>
      <c r="AF92" s="61">
        <f t="shared" si="46"/>
        <v>0</v>
      </c>
      <c r="AG92" s="61">
        <f t="shared" si="46"/>
        <v>0</v>
      </c>
      <c r="AH92" s="61">
        <f t="shared" si="46"/>
        <v>0</v>
      </c>
      <c r="AI92" s="61">
        <f t="shared" si="46"/>
        <v>0</v>
      </c>
      <c r="AJ92" s="61">
        <f t="shared" si="46"/>
        <v>0</v>
      </c>
      <c r="AK92" s="61">
        <f t="shared" si="46"/>
        <v>0</v>
      </c>
      <c r="AL92" s="61">
        <f t="shared" si="46"/>
        <v>0</v>
      </c>
      <c r="AM92" s="61">
        <f t="shared" si="46"/>
        <v>0</v>
      </c>
      <c r="AN92" s="61">
        <f t="shared" si="46"/>
        <v>0</v>
      </c>
      <c r="AO92" s="61">
        <f t="shared" si="46"/>
        <v>0</v>
      </c>
      <c r="AP92" s="61">
        <f t="shared" si="46"/>
        <v>0</v>
      </c>
      <c r="AQ92" s="61">
        <f t="shared" si="46"/>
        <v>0</v>
      </c>
      <c r="AR92" s="61">
        <f t="shared" si="46"/>
        <v>0</v>
      </c>
      <c r="AS92" s="61">
        <f t="shared" si="46"/>
        <v>0</v>
      </c>
      <c r="AT92" s="89">
        <f t="shared" si="46"/>
        <v>0</v>
      </c>
      <c r="AU92" s="96">
        <f t="shared" si="46"/>
        <v>0</v>
      </c>
      <c r="AV92" s="61">
        <f t="shared" si="46"/>
        <v>0</v>
      </c>
      <c r="AW92" s="61">
        <f t="shared" si="46"/>
        <v>0</v>
      </c>
      <c r="AX92" s="61">
        <f t="shared" si="46"/>
        <v>0</v>
      </c>
      <c r="AY92" s="61">
        <f t="shared" si="46"/>
        <v>13.125242219280981</v>
      </c>
      <c r="BA92" s="116" t="str">
        <f t="shared" ca="1" si="20"/>
        <v>Depreciation</v>
      </c>
      <c r="BB92" s="1" t="str">
        <f t="shared" si="21"/>
        <v>Post-vesting depreciation</v>
      </c>
    </row>
    <row r="93" spans="1:54">
      <c r="E93" s="68">
        <v>47938</v>
      </c>
      <c r="G93" t="str">
        <f t="shared" si="16"/>
        <v>£m 23/24 prices</v>
      </c>
      <c r="I93" s="38">
        <f t="shared" si="17"/>
        <v>528.62463037200234</v>
      </c>
      <c r="J93" s="43" t="s">
        <v>10</v>
      </c>
      <c r="Y93" s="61">
        <f t="shared" ref="Y93:AY93" si="47">IF(AND(YEAR(Y$4)&gt;YEAR($E93),YEAR(Y$4)&lt;(YEAR($E93)+X$17+1)),$I93/X$17,0)</f>
        <v>0</v>
      </c>
      <c r="Z93" s="61">
        <f t="shared" si="47"/>
        <v>0</v>
      </c>
      <c r="AA93" s="61">
        <f t="shared" si="47"/>
        <v>0</v>
      </c>
      <c r="AB93" s="61">
        <f t="shared" si="47"/>
        <v>0</v>
      </c>
      <c r="AC93" s="61">
        <f t="shared" si="47"/>
        <v>0</v>
      </c>
      <c r="AD93" s="61">
        <f t="shared" si="47"/>
        <v>0</v>
      </c>
      <c r="AE93" s="61">
        <f t="shared" si="47"/>
        <v>0</v>
      </c>
      <c r="AF93" s="61">
        <f t="shared" si="47"/>
        <v>0</v>
      </c>
      <c r="AG93" s="61">
        <f t="shared" si="47"/>
        <v>0</v>
      </c>
      <c r="AH93" s="61">
        <f t="shared" si="47"/>
        <v>0</v>
      </c>
      <c r="AI93" s="61">
        <f t="shared" si="47"/>
        <v>0</v>
      </c>
      <c r="AJ93" s="61">
        <f t="shared" si="47"/>
        <v>0</v>
      </c>
      <c r="AK93" s="61">
        <f t="shared" si="47"/>
        <v>0</v>
      </c>
      <c r="AL93" s="61">
        <f t="shared" si="47"/>
        <v>0</v>
      </c>
      <c r="AM93" s="61">
        <f t="shared" si="47"/>
        <v>0</v>
      </c>
      <c r="AN93" s="61">
        <f t="shared" si="47"/>
        <v>0</v>
      </c>
      <c r="AO93" s="61">
        <f t="shared" si="47"/>
        <v>0</v>
      </c>
      <c r="AP93" s="61">
        <f t="shared" si="47"/>
        <v>0</v>
      </c>
      <c r="AQ93" s="61">
        <f t="shared" si="47"/>
        <v>0</v>
      </c>
      <c r="AR93" s="61">
        <f t="shared" si="47"/>
        <v>0</v>
      </c>
      <c r="AS93" s="61">
        <f t="shared" si="47"/>
        <v>0</v>
      </c>
      <c r="AT93" s="89">
        <f t="shared" si="47"/>
        <v>0</v>
      </c>
      <c r="AU93" s="96">
        <f t="shared" si="47"/>
        <v>0</v>
      </c>
      <c r="AV93" s="61">
        <f t="shared" si="47"/>
        <v>0</v>
      </c>
      <c r="AW93" s="61">
        <f t="shared" si="47"/>
        <v>0</v>
      </c>
      <c r="AX93" s="61">
        <f t="shared" si="47"/>
        <v>0</v>
      </c>
      <c r="AY93" s="61">
        <f t="shared" si="47"/>
        <v>0</v>
      </c>
      <c r="BA93" s="116" t="str">
        <f t="shared" ca="1" si="20"/>
        <v>Depreciation</v>
      </c>
      <c r="BB93" s="1" t="str">
        <f t="shared" si="21"/>
        <v>Post-vesting depreciation</v>
      </c>
    </row>
    <row r="94" spans="1:54"/>
    <row r="95" spans="1:54" ht="20" thickBot="1">
      <c r="A95" s="15" t="s">
        <v>428</v>
      </c>
    </row>
    <row r="96" spans="1:54" ht="15" thickTop="1">
      <c r="E96" t="s">
        <v>675</v>
      </c>
      <c r="G96" t="s">
        <v>77</v>
      </c>
      <c r="I96" s="64">
        <f>DATE(YEAR(I12)+I18-1,MONTH(I12),DAY(I12))</f>
        <v>51591</v>
      </c>
      <c r="BA96" s="116" t="str">
        <f t="shared" ref="BA96:BA126" ca="1" si="48">$A$1</f>
        <v>Depreciation</v>
      </c>
      <c r="BB96" s="1" t="str">
        <f>$A$95</f>
        <v>Differential</v>
      </c>
    </row>
    <row r="97" spans="5:54">
      <c r="E97" t="s">
        <v>429</v>
      </c>
      <c r="G97" t="s">
        <v>106</v>
      </c>
      <c r="I97" s="68"/>
      <c r="J97" s="43" t="s">
        <v>10</v>
      </c>
      <c r="Y97" s="52">
        <f t="shared" ref="Y97:AY97" si="49">AND(Y$4&gt;=$I$12,Y$4&lt;=$I$96)*1</f>
        <v>0</v>
      </c>
      <c r="Z97" s="52">
        <f t="shared" si="49"/>
        <v>0</v>
      </c>
      <c r="AA97" s="52">
        <f t="shared" si="49"/>
        <v>0</v>
      </c>
      <c r="AB97" s="52">
        <f t="shared" si="49"/>
        <v>0</v>
      </c>
      <c r="AC97" s="52">
        <f t="shared" si="49"/>
        <v>0</v>
      </c>
      <c r="AD97" s="52">
        <f t="shared" si="49"/>
        <v>0</v>
      </c>
      <c r="AE97" s="52">
        <f t="shared" si="49"/>
        <v>0</v>
      </c>
      <c r="AF97" s="52">
        <f t="shared" si="49"/>
        <v>0</v>
      </c>
      <c r="AG97" s="52">
        <f t="shared" si="49"/>
        <v>0</v>
      </c>
      <c r="AH97" s="52">
        <f t="shared" si="49"/>
        <v>0</v>
      </c>
      <c r="AI97" s="52">
        <f t="shared" si="49"/>
        <v>0</v>
      </c>
      <c r="AJ97" s="52">
        <f t="shared" si="49"/>
        <v>0</v>
      </c>
      <c r="AK97" s="52">
        <f t="shared" si="49"/>
        <v>0</v>
      </c>
      <c r="AL97" s="52">
        <f t="shared" si="49"/>
        <v>0</v>
      </c>
      <c r="AM97" s="52">
        <f t="shared" si="49"/>
        <v>0</v>
      </c>
      <c r="AN97" s="52">
        <f t="shared" si="49"/>
        <v>0</v>
      </c>
      <c r="AO97" s="52">
        <f t="shared" si="49"/>
        <v>0</v>
      </c>
      <c r="AP97" s="52">
        <f t="shared" si="49"/>
        <v>1</v>
      </c>
      <c r="AQ97" s="52">
        <f t="shared" si="49"/>
        <v>1</v>
      </c>
      <c r="AR97" s="52">
        <f t="shared" si="49"/>
        <v>1</v>
      </c>
      <c r="AS97" s="52">
        <f t="shared" si="49"/>
        <v>1</v>
      </c>
      <c r="AT97" s="191">
        <f t="shared" si="49"/>
        <v>1</v>
      </c>
      <c r="AU97" s="172">
        <f t="shared" si="49"/>
        <v>1</v>
      </c>
      <c r="AV97" s="52">
        <f t="shared" si="49"/>
        <v>1</v>
      </c>
      <c r="AW97" s="52">
        <f t="shared" si="49"/>
        <v>1</v>
      </c>
      <c r="AX97" s="52">
        <f t="shared" si="49"/>
        <v>1</v>
      </c>
      <c r="AY97" s="52">
        <f t="shared" si="49"/>
        <v>1</v>
      </c>
      <c r="BA97" s="116" t="str">
        <f t="shared" ca="1" si="48"/>
        <v>Depreciation</v>
      </c>
      <c r="BB97" s="1" t="str">
        <f t="shared" ref="BB97" si="50">$A$95</f>
        <v>Differential</v>
      </c>
    </row>
    <row r="98" spans="5:54"/>
    <row r="99" spans="5:54">
      <c r="E99" s="68">
        <v>38077</v>
      </c>
      <c r="G99" s="68" t="str">
        <f t="shared" ref="G99:G126" si="51">price_label</f>
        <v>£m 23/24 prices</v>
      </c>
      <c r="I99" s="61">
        <f t="shared" ref="I99:I126" si="52">SUMPRODUCT($X36:$AY36,$X$24:$AY$24)-SUMPRODUCT($X66:$AY66,$X$24:$AY$24)</f>
        <v>112.56302524086414</v>
      </c>
      <c r="J99" s="43" t="s">
        <v>10</v>
      </c>
      <c r="Y99" s="61">
        <f t="shared" ref="Y99:AH108" si="53">($I99/$I$18)*Y$97</f>
        <v>0</v>
      </c>
      <c r="Z99" s="61">
        <f t="shared" si="53"/>
        <v>0</v>
      </c>
      <c r="AA99" s="61">
        <f t="shared" si="53"/>
        <v>0</v>
      </c>
      <c r="AB99" s="61">
        <f t="shared" si="53"/>
        <v>0</v>
      </c>
      <c r="AC99" s="61">
        <f t="shared" si="53"/>
        <v>0</v>
      </c>
      <c r="AD99" s="61">
        <f t="shared" si="53"/>
        <v>0</v>
      </c>
      <c r="AE99" s="61">
        <f t="shared" si="53"/>
        <v>0</v>
      </c>
      <c r="AF99" s="61">
        <f t="shared" si="53"/>
        <v>0</v>
      </c>
      <c r="AG99" s="61">
        <f t="shared" si="53"/>
        <v>0</v>
      </c>
      <c r="AH99" s="61">
        <f t="shared" si="53"/>
        <v>0</v>
      </c>
      <c r="AI99" s="61">
        <f t="shared" ref="AI99:AR108" si="54">($I99/$I$18)*AI$97</f>
        <v>0</v>
      </c>
      <c r="AJ99" s="61">
        <f t="shared" si="54"/>
        <v>0</v>
      </c>
      <c r="AK99" s="61">
        <f t="shared" si="54"/>
        <v>0</v>
      </c>
      <c r="AL99" s="61">
        <f t="shared" si="54"/>
        <v>0</v>
      </c>
      <c r="AM99" s="61">
        <f t="shared" si="54"/>
        <v>0</v>
      </c>
      <c r="AN99" s="61">
        <f t="shared" si="54"/>
        <v>0</v>
      </c>
      <c r="AO99" s="61">
        <f t="shared" si="54"/>
        <v>0</v>
      </c>
      <c r="AP99" s="61">
        <f t="shared" si="54"/>
        <v>5.6281512620432066</v>
      </c>
      <c r="AQ99" s="61">
        <f t="shared" si="54"/>
        <v>5.6281512620432066</v>
      </c>
      <c r="AR99" s="61">
        <f t="shared" si="54"/>
        <v>5.6281512620432066</v>
      </c>
      <c r="AS99" s="61">
        <f t="shared" ref="AS99:AY108" si="55">($I99/$I$18)*AS$97</f>
        <v>5.6281512620432066</v>
      </c>
      <c r="AT99" s="89">
        <f t="shared" si="55"/>
        <v>5.6281512620432066</v>
      </c>
      <c r="AU99" s="96">
        <f t="shared" si="55"/>
        <v>5.6281512620432066</v>
      </c>
      <c r="AV99" s="61">
        <f t="shared" si="55"/>
        <v>5.6281512620432066</v>
      </c>
      <c r="AW99" s="61">
        <f t="shared" si="55"/>
        <v>5.6281512620432066</v>
      </c>
      <c r="AX99" s="61">
        <f t="shared" si="55"/>
        <v>5.6281512620432066</v>
      </c>
      <c r="AY99" s="61">
        <f t="shared" si="55"/>
        <v>5.6281512620432066</v>
      </c>
      <c r="BA99" s="116" t="str">
        <f t="shared" ca="1" si="48"/>
        <v>Depreciation</v>
      </c>
      <c r="BB99" s="1" t="str">
        <f t="shared" ref="BB99:BB126" si="56">$A$95</f>
        <v>Differential</v>
      </c>
    </row>
    <row r="100" spans="5:54">
      <c r="E100" s="68">
        <v>38442</v>
      </c>
      <c r="G100" s="68" t="str">
        <f t="shared" si="51"/>
        <v>£m 23/24 prices</v>
      </c>
      <c r="I100" s="61">
        <f t="shared" si="52"/>
        <v>35.328952758826297</v>
      </c>
      <c r="J100" s="43" t="s">
        <v>10</v>
      </c>
      <c r="Y100" s="61">
        <f t="shared" si="53"/>
        <v>0</v>
      </c>
      <c r="Z100" s="61">
        <f t="shared" si="53"/>
        <v>0</v>
      </c>
      <c r="AA100" s="61">
        <f t="shared" si="53"/>
        <v>0</v>
      </c>
      <c r="AB100" s="61">
        <f t="shared" si="53"/>
        <v>0</v>
      </c>
      <c r="AC100" s="61">
        <f t="shared" si="53"/>
        <v>0</v>
      </c>
      <c r="AD100" s="61">
        <f t="shared" si="53"/>
        <v>0</v>
      </c>
      <c r="AE100" s="61">
        <f t="shared" si="53"/>
        <v>0</v>
      </c>
      <c r="AF100" s="61">
        <f t="shared" si="53"/>
        <v>0</v>
      </c>
      <c r="AG100" s="61">
        <f t="shared" si="53"/>
        <v>0</v>
      </c>
      <c r="AH100" s="61">
        <f t="shared" si="53"/>
        <v>0</v>
      </c>
      <c r="AI100" s="61">
        <f t="shared" si="54"/>
        <v>0</v>
      </c>
      <c r="AJ100" s="61">
        <f t="shared" si="54"/>
        <v>0</v>
      </c>
      <c r="AK100" s="61">
        <f t="shared" si="54"/>
        <v>0</v>
      </c>
      <c r="AL100" s="61">
        <f t="shared" si="54"/>
        <v>0</v>
      </c>
      <c r="AM100" s="61">
        <f t="shared" si="54"/>
        <v>0</v>
      </c>
      <c r="AN100" s="61">
        <f t="shared" si="54"/>
        <v>0</v>
      </c>
      <c r="AO100" s="61">
        <f t="shared" si="54"/>
        <v>0</v>
      </c>
      <c r="AP100" s="61">
        <f t="shared" si="54"/>
        <v>1.7664476379413148</v>
      </c>
      <c r="AQ100" s="61">
        <f t="shared" si="54"/>
        <v>1.7664476379413148</v>
      </c>
      <c r="AR100" s="61">
        <f t="shared" si="54"/>
        <v>1.7664476379413148</v>
      </c>
      <c r="AS100" s="61">
        <f t="shared" si="55"/>
        <v>1.7664476379413148</v>
      </c>
      <c r="AT100" s="89">
        <f t="shared" si="55"/>
        <v>1.7664476379413148</v>
      </c>
      <c r="AU100" s="96">
        <f t="shared" si="55"/>
        <v>1.7664476379413148</v>
      </c>
      <c r="AV100" s="61">
        <f t="shared" si="55"/>
        <v>1.7664476379413148</v>
      </c>
      <c r="AW100" s="61">
        <f t="shared" si="55"/>
        <v>1.7664476379413148</v>
      </c>
      <c r="AX100" s="61">
        <f t="shared" si="55"/>
        <v>1.7664476379413148</v>
      </c>
      <c r="AY100" s="61">
        <f t="shared" si="55"/>
        <v>1.7664476379413148</v>
      </c>
      <c r="BA100" s="116" t="str">
        <f t="shared" ca="1" si="48"/>
        <v>Depreciation</v>
      </c>
      <c r="BB100" s="1" t="str">
        <f t="shared" si="56"/>
        <v>Differential</v>
      </c>
    </row>
    <row r="101" spans="5:54">
      <c r="E101" s="68">
        <v>38807</v>
      </c>
      <c r="G101" s="68" t="str">
        <f t="shared" si="51"/>
        <v>£m 23/24 prices</v>
      </c>
      <c r="I101" s="61">
        <f t="shared" si="52"/>
        <v>106.65090760317119</v>
      </c>
      <c r="J101" s="43" t="s">
        <v>10</v>
      </c>
      <c r="Y101" s="61">
        <f t="shared" si="53"/>
        <v>0</v>
      </c>
      <c r="Z101" s="61">
        <f t="shared" si="53"/>
        <v>0</v>
      </c>
      <c r="AA101" s="61">
        <f t="shared" si="53"/>
        <v>0</v>
      </c>
      <c r="AB101" s="61">
        <f t="shared" si="53"/>
        <v>0</v>
      </c>
      <c r="AC101" s="61">
        <f t="shared" si="53"/>
        <v>0</v>
      </c>
      <c r="AD101" s="61">
        <f t="shared" si="53"/>
        <v>0</v>
      </c>
      <c r="AE101" s="61">
        <f t="shared" si="53"/>
        <v>0</v>
      </c>
      <c r="AF101" s="61">
        <f t="shared" si="53"/>
        <v>0</v>
      </c>
      <c r="AG101" s="61">
        <f t="shared" si="53"/>
        <v>0</v>
      </c>
      <c r="AH101" s="61">
        <f t="shared" si="53"/>
        <v>0</v>
      </c>
      <c r="AI101" s="61">
        <f t="shared" si="54"/>
        <v>0</v>
      </c>
      <c r="AJ101" s="61">
        <f t="shared" si="54"/>
        <v>0</v>
      </c>
      <c r="AK101" s="61">
        <f t="shared" si="54"/>
        <v>0</v>
      </c>
      <c r="AL101" s="61">
        <f t="shared" si="54"/>
        <v>0</v>
      </c>
      <c r="AM101" s="61">
        <f t="shared" si="54"/>
        <v>0</v>
      </c>
      <c r="AN101" s="61">
        <f t="shared" si="54"/>
        <v>0</v>
      </c>
      <c r="AO101" s="61">
        <f t="shared" si="54"/>
        <v>0</v>
      </c>
      <c r="AP101" s="61">
        <f t="shared" si="54"/>
        <v>5.3325453801585594</v>
      </c>
      <c r="AQ101" s="61">
        <f t="shared" si="54"/>
        <v>5.3325453801585594</v>
      </c>
      <c r="AR101" s="61">
        <f t="shared" si="54"/>
        <v>5.3325453801585594</v>
      </c>
      <c r="AS101" s="61">
        <f t="shared" si="55"/>
        <v>5.3325453801585594</v>
      </c>
      <c r="AT101" s="89">
        <f t="shared" si="55"/>
        <v>5.3325453801585594</v>
      </c>
      <c r="AU101" s="96">
        <f t="shared" si="55"/>
        <v>5.3325453801585594</v>
      </c>
      <c r="AV101" s="61">
        <f t="shared" si="55"/>
        <v>5.3325453801585594</v>
      </c>
      <c r="AW101" s="61">
        <f t="shared" si="55"/>
        <v>5.3325453801585594</v>
      </c>
      <c r="AX101" s="61">
        <f t="shared" si="55"/>
        <v>5.3325453801585594</v>
      </c>
      <c r="AY101" s="61">
        <f t="shared" si="55"/>
        <v>5.3325453801585594</v>
      </c>
      <c r="BA101" s="116" t="str">
        <f t="shared" ca="1" si="48"/>
        <v>Depreciation</v>
      </c>
      <c r="BB101" s="1" t="str">
        <f t="shared" si="56"/>
        <v>Differential</v>
      </c>
    </row>
    <row r="102" spans="5:54">
      <c r="E102" s="68">
        <v>39172</v>
      </c>
      <c r="G102" s="68" t="str">
        <f t="shared" si="51"/>
        <v>£m 23/24 prices</v>
      </c>
      <c r="I102" s="61">
        <f t="shared" si="52"/>
        <v>185.52162387269408</v>
      </c>
      <c r="J102" s="43" t="s">
        <v>10</v>
      </c>
      <c r="Y102" s="61">
        <f t="shared" si="53"/>
        <v>0</v>
      </c>
      <c r="Z102" s="61">
        <f t="shared" si="53"/>
        <v>0</v>
      </c>
      <c r="AA102" s="61">
        <f t="shared" si="53"/>
        <v>0</v>
      </c>
      <c r="AB102" s="61">
        <f t="shared" si="53"/>
        <v>0</v>
      </c>
      <c r="AC102" s="61">
        <f t="shared" si="53"/>
        <v>0</v>
      </c>
      <c r="AD102" s="61">
        <f t="shared" si="53"/>
        <v>0</v>
      </c>
      <c r="AE102" s="61">
        <f t="shared" si="53"/>
        <v>0</v>
      </c>
      <c r="AF102" s="61">
        <f t="shared" si="53"/>
        <v>0</v>
      </c>
      <c r="AG102" s="61">
        <f t="shared" si="53"/>
        <v>0</v>
      </c>
      <c r="AH102" s="61">
        <f t="shared" si="53"/>
        <v>0</v>
      </c>
      <c r="AI102" s="61">
        <f t="shared" si="54"/>
        <v>0</v>
      </c>
      <c r="AJ102" s="61">
        <f t="shared" si="54"/>
        <v>0</v>
      </c>
      <c r="AK102" s="61">
        <f t="shared" si="54"/>
        <v>0</v>
      </c>
      <c r="AL102" s="61">
        <f t="shared" si="54"/>
        <v>0</v>
      </c>
      <c r="AM102" s="61">
        <f t="shared" si="54"/>
        <v>0</v>
      </c>
      <c r="AN102" s="61">
        <f t="shared" si="54"/>
        <v>0</v>
      </c>
      <c r="AO102" s="61">
        <f t="shared" si="54"/>
        <v>0</v>
      </c>
      <c r="AP102" s="61">
        <f t="shared" si="54"/>
        <v>9.2760811936347043</v>
      </c>
      <c r="AQ102" s="61">
        <f t="shared" si="54"/>
        <v>9.2760811936347043</v>
      </c>
      <c r="AR102" s="61">
        <f t="shared" si="54"/>
        <v>9.2760811936347043</v>
      </c>
      <c r="AS102" s="61">
        <f t="shared" si="55"/>
        <v>9.2760811936347043</v>
      </c>
      <c r="AT102" s="89">
        <f t="shared" si="55"/>
        <v>9.2760811936347043</v>
      </c>
      <c r="AU102" s="96">
        <f t="shared" si="55"/>
        <v>9.2760811936347043</v>
      </c>
      <c r="AV102" s="61">
        <f t="shared" si="55"/>
        <v>9.2760811936347043</v>
      </c>
      <c r="AW102" s="61">
        <f t="shared" si="55"/>
        <v>9.2760811936347043</v>
      </c>
      <c r="AX102" s="61">
        <f t="shared" si="55"/>
        <v>9.2760811936347043</v>
      </c>
      <c r="AY102" s="61">
        <f t="shared" si="55"/>
        <v>9.2760811936347043</v>
      </c>
      <c r="BA102" s="116" t="str">
        <f t="shared" ca="1" si="48"/>
        <v>Depreciation</v>
      </c>
      <c r="BB102" s="1" t="str">
        <f t="shared" si="56"/>
        <v>Differential</v>
      </c>
    </row>
    <row r="103" spans="5:54">
      <c r="E103" s="68">
        <v>39538</v>
      </c>
      <c r="G103" s="68" t="str">
        <f t="shared" si="51"/>
        <v>£m 23/24 prices</v>
      </c>
      <c r="I103" s="61">
        <f t="shared" si="52"/>
        <v>192.50962292332872</v>
      </c>
      <c r="J103" s="43" t="s">
        <v>10</v>
      </c>
      <c r="Y103" s="61">
        <f t="shared" si="53"/>
        <v>0</v>
      </c>
      <c r="Z103" s="61">
        <f t="shared" si="53"/>
        <v>0</v>
      </c>
      <c r="AA103" s="61">
        <f t="shared" si="53"/>
        <v>0</v>
      </c>
      <c r="AB103" s="61">
        <f t="shared" si="53"/>
        <v>0</v>
      </c>
      <c r="AC103" s="61">
        <f t="shared" si="53"/>
        <v>0</v>
      </c>
      <c r="AD103" s="61">
        <f t="shared" si="53"/>
        <v>0</v>
      </c>
      <c r="AE103" s="61">
        <f t="shared" si="53"/>
        <v>0</v>
      </c>
      <c r="AF103" s="61">
        <f t="shared" si="53"/>
        <v>0</v>
      </c>
      <c r="AG103" s="61">
        <f t="shared" si="53"/>
        <v>0</v>
      </c>
      <c r="AH103" s="61">
        <f t="shared" si="53"/>
        <v>0</v>
      </c>
      <c r="AI103" s="61">
        <f t="shared" si="54"/>
        <v>0</v>
      </c>
      <c r="AJ103" s="61">
        <f t="shared" si="54"/>
        <v>0</v>
      </c>
      <c r="AK103" s="61">
        <f t="shared" si="54"/>
        <v>0</v>
      </c>
      <c r="AL103" s="61">
        <f t="shared" si="54"/>
        <v>0</v>
      </c>
      <c r="AM103" s="61">
        <f t="shared" si="54"/>
        <v>0</v>
      </c>
      <c r="AN103" s="61">
        <f t="shared" si="54"/>
        <v>0</v>
      </c>
      <c r="AO103" s="61">
        <f t="shared" si="54"/>
        <v>0</v>
      </c>
      <c r="AP103" s="61">
        <f t="shared" si="54"/>
        <v>9.625481146166436</v>
      </c>
      <c r="AQ103" s="61">
        <f t="shared" si="54"/>
        <v>9.625481146166436</v>
      </c>
      <c r="AR103" s="61">
        <f t="shared" si="54"/>
        <v>9.625481146166436</v>
      </c>
      <c r="AS103" s="61">
        <f t="shared" si="55"/>
        <v>9.625481146166436</v>
      </c>
      <c r="AT103" s="89">
        <f t="shared" si="55"/>
        <v>9.625481146166436</v>
      </c>
      <c r="AU103" s="96">
        <f t="shared" si="55"/>
        <v>9.625481146166436</v>
      </c>
      <c r="AV103" s="61">
        <f t="shared" si="55"/>
        <v>9.625481146166436</v>
      </c>
      <c r="AW103" s="61">
        <f t="shared" si="55"/>
        <v>9.625481146166436</v>
      </c>
      <c r="AX103" s="61">
        <f t="shared" si="55"/>
        <v>9.625481146166436</v>
      </c>
      <c r="AY103" s="61">
        <f t="shared" si="55"/>
        <v>9.625481146166436</v>
      </c>
      <c r="BA103" s="116" t="str">
        <f t="shared" ca="1" si="48"/>
        <v>Depreciation</v>
      </c>
      <c r="BB103" s="1" t="str">
        <f t="shared" si="56"/>
        <v>Differential</v>
      </c>
    </row>
    <row r="104" spans="5:54">
      <c r="E104" s="68">
        <v>39903</v>
      </c>
      <c r="G104" s="68" t="str">
        <f t="shared" si="51"/>
        <v>£m 23/24 prices</v>
      </c>
      <c r="I104" s="61">
        <f t="shared" si="52"/>
        <v>77.511900908547759</v>
      </c>
      <c r="J104" s="43" t="s">
        <v>10</v>
      </c>
      <c r="Y104" s="61">
        <f t="shared" si="53"/>
        <v>0</v>
      </c>
      <c r="Z104" s="61">
        <f t="shared" si="53"/>
        <v>0</v>
      </c>
      <c r="AA104" s="61">
        <f t="shared" si="53"/>
        <v>0</v>
      </c>
      <c r="AB104" s="61">
        <f t="shared" si="53"/>
        <v>0</v>
      </c>
      <c r="AC104" s="61">
        <f t="shared" si="53"/>
        <v>0</v>
      </c>
      <c r="AD104" s="61">
        <f t="shared" si="53"/>
        <v>0</v>
      </c>
      <c r="AE104" s="61">
        <f t="shared" si="53"/>
        <v>0</v>
      </c>
      <c r="AF104" s="61">
        <f t="shared" si="53"/>
        <v>0</v>
      </c>
      <c r="AG104" s="61">
        <f t="shared" si="53"/>
        <v>0</v>
      </c>
      <c r="AH104" s="61">
        <f t="shared" si="53"/>
        <v>0</v>
      </c>
      <c r="AI104" s="61">
        <f t="shared" si="54"/>
        <v>0</v>
      </c>
      <c r="AJ104" s="61">
        <f t="shared" si="54"/>
        <v>0</v>
      </c>
      <c r="AK104" s="61">
        <f t="shared" si="54"/>
        <v>0</v>
      </c>
      <c r="AL104" s="61">
        <f t="shared" si="54"/>
        <v>0</v>
      </c>
      <c r="AM104" s="61">
        <f t="shared" si="54"/>
        <v>0</v>
      </c>
      <c r="AN104" s="61">
        <f t="shared" si="54"/>
        <v>0</v>
      </c>
      <c r="AO104" s="61">
        <f t="shared" si="54"/>
        <v>0</v>
      </c>
      <c r="AP104" s="61">
        <f t="shared" si="54"/>
        <v>3.8755950454273878</v>
      </c>
      <c r="AQ104" s="61">
        <f t="shared" si="54"/>
        <v>3.8755950454273878</v>
      </c>
      <c r="AR104" s="61">
        <f t="shared" si="54"/>
        <v>3.8755950454273878</v>
      </c>
      <c r="AS104" s="61">
        <f t="shared" si="55"/>
        <v>3.8755950454273878</v>
      </c>
      <c r="AT104" s="89">
        <f t="shared" si="55"/>
        <v>3.8755950454273878</v>
      </c>
      <c r="AU104" s="96">
        <f t="shared" si="55"/>
        <v>3.8755950454273878</v>
      </c>
      <c r="AV104" s="61">
        <f t="shared" si="55"/>
        <v>3.8755950454273878</v>
      </c>
      <c r="AW104" s="61">
        <f t="shared" si="55"/>
        <v>3.8755950454273878</v>
      </c>
      <c r="AX104" s="61">
        <f t="shared" si="55"/>
        <v>3.8755950454273878</v>
      </c>
      <c r="AY104" s="61">
        <f t="shared" si="55"/>
        <v>3.8755950454273878</v>
      </c>
      <c r="BA104" s="116" t="str">
        <f t="shared" ca="1" si="48"/>
        <v>Depreciation</v>
      </c>
      <c r="BB104" s="1" t="str">
        <f t="shared" si="56"/>
        <v>Differential</v>
      </c>
    </row>
    <row r="105" spans="5:54">
      <c r="E105" s="68">
        <v>40268</v>
      </c>
      <c r="G105" s="68" t="str">
        <f t="shared" si="51"/>
        <v>£m 23/24 prices</v>
      </c>
      <c r="I105" s="61">
        <f t="shared" si="52"/>
        <v>36.398474778140425</v>
      </c>
      <c r="J105" s="43" t="s">
        <v>10</v>
      </c>
      <c r="Y105" s="61">
        <f t="shared" si="53"/>
        <v>0</v>
      </c>
      <c r="Z105" s="61">
        <f t="shared" si="53"/>
        <v>0</v>
      </c>
      <c r="AA105" s="61">
        <f t="shared" si="53"/>
        <v>0</v>
      </c>
      <c r="AB105" s="61">
        <f t="shared" si="53"/>
        <v>0</v>
      </c>
      <c r="AC105" s="61">
        <f t="shared" si="53"/>
        <v>0</v>
      </c>
      <c r="AD105" s="61">
        <f t="shared" si="53"/>
        <v>0</v>
      </c>
      <c r="AE105" s="61">
        <f t="shared" si="53"/>
        <v>0</v>
      </c>
      <c r="AF105" s="61">
        <f t="shared" si="53"/>
        <v>0</v>
      </c>
      <c r="AG105" s="61">
        <f t="shared" si="53"/>
        <v>0</v>
      </c>
      <c r="AH105" s="61">
        <f t="shared" si="53"/>
        <v>0</v>
      </c>
      <c r="AI105" s="61">
        <f t="shared" si="54"/>
        <v>0</v>
      </c>
      <c r="AJ105" s="61">
        <f t="shared" si="54"/>
        <v>0</v>
      </c>
      <c r="AK105" s="61">
        <f t="shared" si="54"/>
        <v>0</v>
      </c>
      <c r="AL105" s="61">
        <f t="shared" si="54"/>
        <v>0</v>
      </c>
      <c r="AM105" s="61">
        <f t="shared" si="54"/>
        <v>0</v>
      </c>
      <c r="AN105" s="61">
        <f t="shared" si="54"/>
        <v>0</v>
      </c>
      <c r="AO105" s="61">
        <f t="shared" si="54"/>
        <v>0</v>
      </c>
      <c r="AP105" s="61">
        <f t="shared" si="54"/>
        <v>1.8199237389070213</v>
      </c>
      <c r="AQ105" s="61">
        <f t="shared" si="54"/>
        <v>1.8199237389070213</v>
      </c>
      <c r="AR105" s="61">
        <f t="shared" si="54"/>
        <v>1.8199237389070213</v>
      </c>
      <c r="AS105" s="61">
        <f t="shared" si="55"/>
        <v>1.8199237389070213</v>
      </c>
      <c r="AT105" s="89">
        <f t="shared" si="55"/>
        <v>1.8199237389070213</v>
      </c>
      <c r="AU105" s="96">
        <f t="shared" si="55"/>
        <v>1.8199237389070213</v>
      </c>
      <c r="AV105" s="61">
        <f t="shared" si="55"/>
        <v>1.8199237389070213</v>
      </c>
      <c r="AW105" s="61">
        <f t="shared" si="55"/>
        <v>1.8199237389070213</v>
      </c>
      <c r="AX105" s="61">
        <f t="shared" si="55"/>
        <v>1.8199237389070213</v>
      </c>
      <c r="AY105" s="61">
        <f t="shared" si="55"/>
        <v>1.8199237389070213</v>
      </c>
      <c r="BA105" s="116" t="str">
        <f t="shared" ca="1" si="48"/>
        <v>Depreciation</v>
      </c>
      <c r="BB105" s="1" t="str">
        <f t="shared" si="56"/>
        <v>Differential</v>
      </c>
    </row>
    <row r="106" spans="5:54">
      <c r="E106" s="68">
        <v>40633</v>
      </c>
      <c r="G106" s="68" t="str">
        <f t="shared" si="51"/>
        <v>£m 23/24 prices</v>
      </c>
      <c r="I106" s="61">
        <f t="shared" si="52"/>
        <v>27.644894531427887</v>
      </c>
      <c r="J106" s="43" t="s">
        <v>10</v>
      </c>
      <c r="Y106" s="61">
        <f t="shared" si="53"/>
        <v>0</v>
      </c>
      <c r="Z106" s="61">
        <f t="shared" si="53"/>
        <v>0</v>
      </c>
      <c r="AA106" s="61">
        <f t="shared" si="53"/>
        <v>0</v>
      </c>
      <c r="AB106" s="61">
        <f t="shared" si="53"/>
        <v>0</v>
      </c>
      <c r="AC106" s="61">
        <f t="shared" si="53"/>
        <v>0</v>
      </c>
      <c r="AD106" s="61">
        <f t="shared" si="53"/>
        <v>0</v>
      </c>
      <c r="AE106" s="61">
        <f t="shared" si="53"/>
        <v>0</v>
      </c>
      <c r="AF106" s="61">
        <f t="shared" si="53"/>
        <v>0</v>
      </c>
      <c r="AG106" s="61">
        <f t="shared" si="53"/>
        <v>0</v>
      </c>
      <c r="AH106" s="61">
        <f t="shared" si="53"/>
        <v>0</v>
      </c>
      <c r="AI106" s="61">
        <f t="shared" si="54"/>
        <v>0</v>
      </c>
      <c r="AJ106" s="61">
        <f t="shared" si="54"/>
        <v>0</v>
      </c>
      <c r="AK106" s="61">
        <f t="shared" si="54"/>
        <v>0</v>
      </c>
      <c r="AL106" s="61">
        <f t="shared" si="54"/>
        <v>0</v>
      </c>
      <c r="AM106" s="61">
        <f t="shared" si="54"/>
        <v>0</v>
      </c>
      <c r="AN106" s="61">
        <f t="shared" si="54"/>
        <v>0</v>
      </c>
      <c r="AO106" s="61">
        <f t="shared" si="54"/>
        <v>0</v>
      </c>
      <c r="AP106" s="61">
        <f t="shared" si="54"/>
        <v>1.3822447265713944</v>
      </c>
      <c r="AQ106" s="61">
        <f t="shared" si="54"/>
        <v>1.3822447265713944</v>
      </c>
      <c r="AR106" s="61">
        <f t="shared" si="54"/>
        <v>1.3822447265713944</v>
      </c>
      <c r="AS106" s="61">
        <f t="shared" si="55"/>
        <v>1.3822447265713944</v>
      </c>
      <c r="AT106" s="89">
        <f t="shared" si="55"/>
        <v>1.3822447265713944</v>
      </c>
      <c r="AU106" s="96">
        <f t="shared" si="55"/>
        <v>1.3822447265713944</v>
      </c>
      <c r="AV106" s="61">
        <f t="shared" si="55"/>
        <v>1.3822447265713944</v>
      </c>
      <c r="AW106" s="61">
        <f t="shared" si="55"/>
        <v>1.3822447265713944</v>
      </c>
      <c r="AX106" s="61">
        <f t="shared" si="55"/>
        <v>1.3822447265713944</v>
      </c>
      <c r="AY106" s="61">
        <f t="shared" si="55"/>
        <v>1.3822447265713944</v>
      </c>
      <c r="BA106" s="116" t="str">
        <f t="shared" ca="1" si="48"/>
        <v>Depreciation</v>
      </c>
      <c r="BB106" s="1" t="str">
        <f t="shared" si="56"/>
        <v>Differential</v>
      </c>
    </row>
    <row r="107" spans="5:54">
      <c r="E107" s="68">
        <v>40999</v>
      </c>
      <c r="G107" s="68" t="str">
        <f t="shared" si="51"/>
        <v>£m 23/24 prices</v>
      </c>
      <c r="I107" s="61">
        <f t="shared" si="52"/>
        <v>25.882059859612291</v>
      </c>
      <c r="J107" s="43" t="s">
        <v>10</v>
      </c>
      <c r="Y107" s="61">
        <f t="shared" si="53"/>
        <v>0</v>
      </c>
      <c r="Z107" s="61">
        <f t="shared" si="53"/>
        <v>0</v>
      </c>
      <c r="AA107" s="61">
        <f t="shared" si="53"/>
        <v>0</v>
      </c>
      <c r="AB107" s="61">
        <f t="shared" si="53"/>
        <v>0</v>
      </c>
      <c r="AC107" s="61">
        <f t="shared" si="53"/>
        <v>0</v>
      </c>
      <c r="AD107" s="61">
        <f t="shared" si="53"/>
        <v>0</v>
      </c>
      <c r="AE107" s="61">
        <f t="shared" si="53"/>
        <v>0</v>
      </c>
      <c r="AF107" s="61">
        <f t="shared" si="53"/>
        <v>0</v>
      </c>
      <c r="AG107" s="61">
        <f t="shared" si="53"/>
        <v>0</v>
      </c>
      <c r="AH107" s="61">
        <f t="shared" si="53"/>
        <v>0</v>
      </c>
      <c r="AI107" s="61">
        <f t="shared" si="54"/>
        <v>0</v>
      </c>
      <c r="AJ107" s="61">
        <f t="shared" si="54"/>
        <v>0</v>
      </c>
      <c r="AK107" s="61">
        <f t="shared" si="54"/>
        <v>0</v>
      </c>
      <c r="AL107" s="61">
        <f t="shared" si="54"/>
        <v>0</v>
      </c>
      <c r="AM107" s="61">
        <f t="shared" si="54"/>
        <v>0</v>
      </c>
      <c r="AN107" s="61">
        <f t="shared" si="54"/>
        <v>0</v>
      </c>
      <c r="AO107" s="61">
        <f t="shared" si="54"/>
        <v>0</v>
      </c>
      <c r="AP107" s="61">
        <f t="shared" si="54"/>
        <v>1.2941029929806145</v>
      </c>
      <c r="AQ107" s="61">
        <f t="shared" si="54"/>
        <v>1.2941029929806145</v>
      </c>
      <c r="AR107" s="61">
        <f t="shared" si="54"/>
        <v>1.2941029929806145</v>
      </c>
      <c r="AS107" s="61">
        <f t="shared" si="55"/>
        <v>1.2941029929806145</v>
      </c>
      <c r="AT107" s="89">
        <f t="shared" si="55"/>
        <v>1.2941029929806145</v>
      </c>
      <c r="AU107" s="96">
        <f t="shared" si="55"/>
        <v>1.2941029929806145</v>
      </c>
      <c r="AV107" s="61">
        <f t="shared" si="55"/>
        <v>1.2941029929806145</v>
      </c>
      <c r="AW107" s="61">
        <f t="shared" si="55"/>
        <v>1.2941029929806145</v>
      </c>
      <c r="AX107" s="61">
        <f t="shared" si="55"/>
        <v>1.2941029929806145</v>
      </c>
      <c r="AY107" s="61">
        <f t="shared" si="55"/>
        <v>1.2941029929806145</v>
      </c>
      <c r="BA107" s="116" t="str">
        <f t="shared" ca="1" si="48"/>
        <v>Depreciation</v>
      </c>
      <c r="BB107" s="1" t="str">
        <f t="shared" si="56"/>
        <v>Differential</v>
      </c>
    </row>
    <row r="108" spans="5:54">
      <c r="E108" s="68">
        <v>41364</v>
      </c>
      <c r="G108" s="68" t="str">
        <f t="shared" si="51"/>
        <v>£m 23/24 prices</v>
      </c>
      <c r="I108" s="61">
        <f t="shared" si="52"/>
        <v>-6.7256494499542132</v>
      </c>
      <c r="J108" s="43" t="s">
        <v>10</v>
      </c>
      <c r="Y108" s="61">
        <f t="shared" si="53"/>
        <v>0</v>
      </c>
      <c r="Z108" s="61">
        <f t="shared" si="53"/>
        <v>0</v>
      </c>
      <c r="AA108" s="61">
        <f t="shared" si="53"/>
        <v>0</v>
      </c>
      <c r="AB108" s="61">
        <f t="shared" si="53"/>
        <v>0</v>
      </c>
      <c r="AC108" s="61">
        <f t="shared" si="53"/>
        <v>0</v>
      </c>
      <c r="AD108" s="61">
        <f t="shared" si="53"/>
        <v>0</v>
      </c>
      <c r="AE108" s="61">
        <f t="shared" si="53"/>
        <v>0</v>
      </c>
      <c r="AF108" s="61">
        <f t="shared" si="53"/>
        <v>0</v>
      </c>
      <c r="AG108" s="61">
        <f t="shared" si="53"/>
        <v>0</v>
      </c>
      <c r="AH108" s="61">
        <f t="shared" si="53"/>
        <v>0</v>
      </c>
      <c r="AI108" s="61">
        <f t="shared" si="54"/>
        <v>0</v>
      </c>
      <c r="AJ108" s="61">
        <f t="shared" si="54"/>
        <v>0</v>
      </c>
      <c r="AK108" s="61">
        <f t="shared" si="54"/>
        <v>0</v>
      </c>
      <c r="AL108" s="61">
        <f t="shared" si="54"/>
        <v>0</v>
      </c>
      <c r="AM108" s="61">
        <f t="shared" si="54"/>
        <v>0</v>
      </c>
      <c r="AN108" s="61">
        <f t="shared" si="54"/>
        <v>0</v>
      </c>
      <c r="AO108" s="61">
        <f t="shared" si="54"/>
        <v>0</v>
      </c>
      <c r="AP108" s="61">
        <f t="shared" si="54"/>
        <v>-0.33628247249771065</v>
      </c>
      <c r="AQ108" s="61">
        <f t="shared" si="54"/>
        <v>-0.33628247249771065</v>
      </c>
      <c r="AR108" s="61">
        <f t="shared" si="54"/>
        <v>-0.33628247249771065</v>
      </c>
      <c r="AS108" s="61">
        <f t="shared" si="55"/>
        <v>-0.33628247249771065</v>
      </c>
      <c r="AT108" s="89">
        <f t="shared" si="55"/>
        <v>-0.33628247249771065</v>
      </c>
      <c r="AU108" s="96">
        <f t="shared" si="55"/>
        <v>-0.33628247249771065</v>
      </c>
      <c r="AV108" s="61">
        <f t="shared" si="55"/>
        <v>-0.33628247249771065</v>
      </c>
      <c r="AW108" s="61">
        <f t="shared" si="55"/>
        <v>-0.33628247249771065</v>
      </c>
      <c r="AX108" s="61">
        <f t="shared" si="55"/>
        <v>-0.33628247249771065</v>
      </c>
      <c r="AY108" s="61">
        <f t="shared" si="55"/>
        <v>-0.33628247249771065</v>
      </c>
      <c r="BA108" s="116" t="str">
        <f t="shared" ca="1" si="48"/>
        <v>Depreciation</v>
      </c>
      <c r="BB108" s="1" t="str">
        <f t="shared" si="56"/>
        <v>Differential</v>
      </c>
    </row>
    <row r="109" spans="5:54">
      <c r="E109" s="68">
        <v>41729</v>
      </c>
      <c r="G109" s="68" t="str">
        <f t="shared" si="51"/>
        <v>£m 23/24 prices</v>
      </c>
      <c r="I109" s="61">
        <f t="shared" si="52"/>
        <v>33.684417406245103</v>
      </c>
      <c r="J109" s="43" t="s">
        <v>10</v>
      </c>
      <c r="Y109" s="61">
        <f t="shared" ref="Y109:AH118" si="57">($I109/$I$18)*Y$97</f>
        <v>0</v>
      </c>
      <c r="Z109" s="61">
        <f t="shared" si="57"/>
        <v>0</v>
      </c>
      <c r="AA109" s="61">
        <f t="shared" si="57"/>
        <v>0</v>
      </c>
      <c r="AB109" s="61">
        <f t="shared" si="57"/>
        <v>0</v>
      </c>
      <c r="AC109" s="61">
        <f t="shared" si="57"/>
        <v>0</v>
      </c>
      <c r="AD109" s="61">
        <f t="shared" si="57"/>
        <v>0</v>
      </c>
      <c r="AE109" s="61">
        <f t="shared" si="57"/>
        <v>0</v>
      </c>
      <c r="AF109" s="61">
        <f t="shared" si="57"/>
        <v>0</v>
      </c>
      <c r="AG109" s="61">
        <f t="shared" si="57"/>
        <v>0</v>
      </c>
      <c r="AH109" s="61">
        <f t="shared" si="57"/>
        <v>0</v>
      </c>
      <c r="AI109" s="61">
        <f t="shared" ref="AI109:AR118" si="58">($I109/$I$18)*AI$97</f>
        <v>0</v>
      </c>
      <c r="AJ109" s="61">
        <f t="shared" si="58"/>
        <v>0</v>
      </c>
      <c r="AK109" s="61">
        <f t="shared" si="58"/>
        <v>0</v>
      </c>
      <c r="AL109" s="61">
        <f t="shared" si="58"/>
        <v>0</v>
      </c>
      <c r="AM109" s="61">
        <f t="shared" si="58"/>
        <v>0</v>
      </c>
      <c r="AN109" s="61">
        <f t="shared" si="58"/>
        <v>0</v>
      </c>
      <c r="AO109" s="61">
        <f t="shared" si="58"/>
        <v>0</v>
      </c>
      <c r="AP109" s="61">
        <f t="shared" si="58"/>
        <v>1.6842208703122552</v>
      </c>
      <c r="AQ109" s="61">
        <f t="shared" si="58"/>
        <v>1.6842208703122552</v>
      </c>
      <c r="AR109" s="61">
        <f t="shared" si="58"/>
        <v>1.6842208703122552</v>
      </c>
      <c r="AS109" s="61">
        <f t="shared" ref="AS109:AY118" si="59">($I109/$I$18)*AS$97</f>
        <v>1.6842208703122552</v>
      </c>
      <c r="AT109" s="89">
        <f t="shared" si="59"/>
        <v>1.6842208703122552</v>
      </c>
      <c r="AU109" s="96">
        <f t="shared" si="59"/>
        <v>1.6842208703122552</v>
      </c>
      <c r="AV109" s="61">
        <f t="shared" si="59"/>
        <v>1.6842208703122552</v>
      </c>
      <c r="AW109" s="61">
        <f t="shared" si="59"/>
        <v>1.6842208703122552</v>
      </c>
      <c r="AX109" s="61">
        <f t="shared" si="59"/>
        <v>1.6842208703122552</v>
      </c>
      <c r="AY109" s="61">
        <f t="shared" si="59"/>
        <v>1.6842208703122552</v>
      </c>
      <c r="BA109" s="116" t="str">
        <f t="shared" ca="1" si="48"/>
        <v>Depreciation</v>
      </c>
      <c r="BB109" s="1" t="str">
        <f t="shared" si="56"/>
        <v>Differential</v>
      </c>
    </row>
    <row r="110" spans="5:54">
      <c r="E110" s="68">
        <v>42094</v>
      </c>
      <c r="G110" s="68" t="str">
        <f t="shared" si="51"/>
        <v>£m 23/24 prices</v>
      </c>
      <c r="I110" s="61">
        <f t="shared" si="52"/>
        <v>23.555419016682546</v>
      </c>
      <c r="J110" s="43" t="s">
        <v>10</v>
      </c>
      <c r="Y110" s="61">
        <f t="shared" si="57"/>
        <v>0</v>
      </c>
      <c r="Z110" s="61">
        <f t="shared" si="57"/>
        <v>0</v>
      </c>
      <c r="AA110" s="61">
        <f t="shared" si="57"/>
        <v>0</v>
      </c>
      <c r="AB110" s="61">
        <f t="shared" si="57"/>
        <v>0</v>
      </c>
      <c r="AC110" s="61">
        <f t="shared" si="57"/>
        <v>0</v>
      </c>
      <c r="AD110" s="61">
        <f t="shared" si="57"/>
        <v>0</v>
      </c>
      <c r="AE110" s="61">
        <f t="shared" si="57"/>
        <v>0</v>
      </c>
      <c r="AF110" s="61">
        <f t="shared" si="57"/>
        <v>0</v>
      </c>
      <c r="AG110" s="61">
        <f t="shared" si="57"/>
        <v>0</v>
      </c>
      <c r="AH110" s="61">
        <f t="shared" si="57"/>
        <v>0</v>
      </c>
      <c r="AI110" s="61">
        <f t="shared" si="58"/>
        <v>0</v>
      </c>
      <c r="AJ110" s="61">
        <f t="shared" si="58"/>
        <v>0</v>
      </c>
      <c r="AK110" s="61">
        <f t="shared" si="58"/>
        <v>0</v>
      </c>
      <c r="AL110" s="61">
        <f t="shared" si="58"/>
        <v>0</v>
      </c>
      <c r="AM110" s="61">
        <f t="shared" si="58"/>
        <v>0</v>
      </c>
      <c r="AN110" s="61">
        <f t="shared" si="58"/>
        <v>0</v>
      </c>
      <c r="AO110" s="61">
        <f t="shared" si="58"/>
        <v>0</v>
      </c>
      <c r="AP110" s="61">
        <f t="shared" si="58"/>
        <v>1.1777709508341272</v>
      </c>
      <c r="AQ110" s="61">
        <f t="shared" si="58"/>
        <v>1.1777709508341272</v>
      </c>
      <c r="AR110" s="61">
        <f t="shared" si="58"/>
        <v>1.1777709508341272</v>
      </c>
      <c r="AS110" s="61">
        <f t="shared" si="59"/>
        <v>1.1777709508341272</v>
      </c>
      <c r="AT110" s="89">
        <f t="shared" si="59"/>
        <v>1.1777709508341272</v>
      </c>
      <c r="AU110" s="96">
        <f t="shared" si="59"/>
        <v>1.1777709508341272</v>
      </c>
      <c r="AV110" s="61">
        <f t="shared" si="59"/>
        <v>1.1777709508341272</v>
      </c>
      <c r="AW110" s="61">
        <f t="shared" si="59"/>
        <v>1.1777709508341272</v>
      </c>
      <c r="AX110" s="61">
        <f t="shared" si="59"/>
        <v>1.1777709508341272</v>
      </c>
      <c r="AY110" s="61">
        <f t="shared" si="59"/>
        <v>1.1777709508341272</v>
      </c>
      <c r="BA110" s="116" t="str">
        <f t="shared" ca="1" si="48"/>
        <v>Depreciation</v>
      </c>
      <c r="BB110" s="1" t="str">
        <f t="shared" si="56"/>
        <v>Differential</v>
      </c>
    </row>
    <row r="111" spans="5:54">
      <c r="E111" s="68">
        <v>42460</v>
      </c>
      <c r="G111" s="68" t="str">
        <f t="shared" si="51"/>
        <v>£m 23/24 prices</v>
      </c>
      <c r="I111" s="61">
        <f t="shared" si="52"/>
        <v>19.034903517255824</v>
      </c>
      <c r="J111" s="43" t="s">
        <v>10</v>
      </c>
      <c r="Y111" s="61">
        <f t="shared" si="57"/>
        <v>0</v>
      </c>
      <c r="Z111" s="61">
        <f t="shared" si="57"/>
        <v>0</v>
      </c>
      <c r="AA111" s="61">
        <f t="shared" si="57"/>
        <v>0</v>
      </c>
      <c r="AB111" s="61">
        <f t="shared" si="57"/>
        <v>0</v>
      </c>
      <c r="AC111" s="61">
        <f t="shared" si="57"/>
        <v>0</v>
      </c>
      <c r="AD111" s="61">
        <f t="shared" si="57"/>
        <v>0</v>
      </c>
      <c r="AE111" s="61">
        <f t="shared" si="57"/>
        <v>0</v>
      </c>
      <c r="AF111" s="61">
        <f t="shared" si="57"/>
        <v>0</v>
      </c>
      <c r="AG111" s="61">
        <f t="shared" si="57"/>
        <v>0</v>
      </c>
      <c r="AH111" s="61">
        <f t="shared" si="57"/>
        <v>0</v>
      </c>
      <c r="AI111" s="61">
        <f t="shared" si="58"/>
        <v>0</v>
      </c>
      <c r="AJ111" s="61">
        <f t="shared" si="58"/>
        <v>0</v>
      </c>
      <c r="AK111" s="61">
        <f t="shared" si="58"/>
        <v>0</v>
      </c>
      <c r="AL111" s="61">
        <f t="shared" si="58"/>
        <v>0</v>
      </c>
      <c r="AM111" s="61">
        <f t="shared" si="58"/>
        <v>0</v>
      </c>
      <c r="AN111" s="61">
        <f t="shared" si="58"/>
        <v>0</v>
      </c>
      <c r="AO111" s="61">
        <f t="shared" si="58"/>
        <v>0</v>
      </c>
      <c r="AP111" s="61">
        <f t="shared" si="58"/>
        <v>0.95174517586279117</v>
      </c>
      <c r="AQ111" s="61">
        <f t="shared" si="58"/>
        <v>0.95174517586279117</v>
      </c>
      <c r="AR111" s="61">
        <f t="shared" si="58"/>
        <v>0.95174517586279117</v>
      </c>
      <c r="AS111" s="61">
        <f t="shared" si="59"/>
        <v>0.95174517586279117</v>
      </c>
      <c r="AT111" s="89">
        <f t="shared" si="59"/>
        <v>0.95174517586279117</v>
      </c>
      <c r="AU111" s="96">
        <f t="shared" si="59"/>
        <v>0.95174517586279117</v>
      </c>
      <c r="AV111" s="61">
        <f t="shared" si="59"/>
        <v>0.95174517586279117</v>
      </c>
      <c r="AW111" s="61">
        <f t="shared" si="59"/>
        <v>0.95174517586279117</v>
      </c>
      <c r="AX111" s="61">
        <f t="shared" si="59"/>
        <v>0.95174517586279117</v>
      </c>
      <c r="AY111" s="61">
        <f t="shared" si="59"/>
        <v>0.95174517586279117</v>
      </c>
      <c r="BA111" s="116" t="str">
        <f t="shared" ca="1" si="48"/>
        <v>Depreciation</v>
      </c>
      <c r="BB111" s="1" t="str">
        <f t="shared" si="56"/>
        <v>Differential</v>
      </c>
    </row>
    <row r="112" spans="5:54">
      <c r="E112" s="68">
        <v>42825</v>
      </c>
      <c r="G112" s="68" t="str">
        <f t="shared" si="51"/>
        <v>£m 23/24 prices</v>
      </c>
      <c r="I112" s="61">
        <f t="shared" si="52"/>
        <v>17.663655145284444</v>
      </c>
      <c r="J112" s="43" t="s">
        <v>10</v>
      </c>
      <c r="Y112" s="61">
        <f t="shared" si="57"/>
        <v>0</v>
      </c>
      <c r="Z112" s="61">
        <f t="shared" si="57"/>
        <v>0</v>
      </c>
      <c r="AA112" s="61">
        <f t="shared" si="57"/>
        <v>0</v>
      </c>
      <c r="AB112" s="61">
        <f t="shared" si="57"/>
        <v>0</v>
      </c>
      <c r="AC112" s="61">
        <f t="shared" si="57"/>
        <v>0</v>
      </c>
      <c r="AD112" s="61">
        <f t="shared" si="57"/>
        <v>0</v>
      </c>
      <c r="AE112" s="61">
        <f t="shared" si="57"/>
        <v>0</v>
      </c>
      <c r="AF112" s="61">
        <f t="shared" si="57"/>
        <v>0</v>
      </c>
      <c r="AG112" s="61">
        <f t="shared" si="57"/>
        <v>0</v>
      </c>
      <c r="AH112" s="61">
        <f t="shared" si="57"/>
        <v>0</v>
      </c>
      <c r="AI112" s="61">
        <f t="shared" si="58"/>
        <v>0</v>
      </c>
      <c r="AJ112" s="61">
        <f t="shared" si="58"/>
        <v>0</v>
      </c>
      <c r="AK112" s="61">
        <f t="shared" si="58"/>
        <v>0</v>
      </c>
      <c r="AL112" s="61">
        <f t="shared" si="58"/>
        <v>0</v>
      </c>
      <c r="AM112" s="61">
        <f t="shared" si="58"/>
        <v>0</v>
      </c>
      <c r="AN112" s="61">
        <f t="shared" si="58"/>
        <v>0</v>
      </c>
      <c r="AO112" s="61">
        <f t="shared" si="58"/>
        <v>0</v>
      </c>
      <c r="AP112" s="61">
        <f t="shared" si="58"/>
        <v>0.88318275726422224</v>
      </c>
      <c r="AQ112" s="61">
        <f t="shared" si="58"/>
        <v>0.88318275726422224</v>
      </c>
      <c r="AR112" s="61">
        <f t="shared" si="58"/>
        <v>0.88318275726422224</v>
      </c>
      <c r="AS112" s="61">
        <f t="shared" si="59"/>
        <v>0.88318275726422224</v>
      </c>
      <c r="AT112" s="89">
        <f t="shared" si="59"/>
        <v>0.88318275726422224</v>
      </c>
      <c r="AU112" s="96">
        <f t="shared" si="59"/>
        <v>0.88318275726422224</v>
      </c>
      <c r="AV112" s="61">
        <f t="shared" si="59"/>
        <v>0.88318275726422224</v>
      </c>
      <c r="AW112" s="61">
        <f t="shared" si="59"/>
        <v>0.88318275726422224</v>
      </c>
      <c r="AX112" s="61">
        <f t="shared" si="59"/>
        <v>0.88318275726422224</v>
      </c>
      <c r="AY112" s="61">
        <f t="shared" si="59"/>
        <v>0.88318275726422224</v>
      </c>
      <c r="BA112" s="116" t="str">
        <f t="shared" ca="1" si="48"/>
        <v>Depreciation</v>
      </c>
      <c r="BB112" s="1" t="str">
        <f t="shared" si="56"/>
        <v>Differential</v>
      </c>
    </row>
    <row r="113" spans="1:54">
      <c r="E113" s="68">
        <v>43190</v>
      </c>
      <c r="G113" s="68" t="str">
        <f t="shared" si="51"/>
        <v>£m 23/24 prices</v>
      </c>
      <c r="I113" s="61">
        <f t="shared" si="52"/>
        <v>17.258897169749872</v>
      </c>
      <c r="J113" s="43" t="s">
        <v>10</v>
      </c>
      <c r="Y113" s="61">
        <f t="shared" si="57"/>
        <v>0</v>
      </c>
      <c r="Z113" s="61">
        <f t="shared" si="57"/>
        <v>0</v>
      </c>
      <c r="AA113" s="61">
        <f t="shared" si="57"/>
        <v>0</v>
      </c>
      <c r="AB113" s="61">
        <f t="shared" si="57"/>
        <v>0</v>
      </c>
      <c r="AC113" s="61">
        <f t="shared" si="57"/>
        <v>0</v>
      </c>
      <c r="AD113" s="61">
        <f t="shared" si="57"/>
        <v>0</v>
      </c>
      <c r="AE113" s="61">
        <f t="shared" si="57"/>
        <v>0</v>
      </c>
      <c r="AF113" s="61">
        <f t="shared" si="57"/>
        <v>0</v>
      </c>
      <c r="AG113" s="61">
        <f t="shared" si="57"/>
        <v>0</v>
      </c>
      <c r="AH113" s="61">
        <f t="shared" si="57"/>
        <v>0</v>
      </c>
      <c r="AI113" s="61">
        <f t="shared" si="58"/>
        <v>0</v>
      </c>
      <c r="AJ113" s="61">
        <f t="shared" si="58"/>
        <v>0</v>
      </c>
      <c r="AK113" s="61">
        <f t="shared" si="58"/>
        <v>0</v>
      </c>
      <c r="AL113" s="61">
        <f t="shared" si="58"/>
        <v>0</v>
      </c>
      <c r="AM113" s="61">
        <f t="shared" si="58"/>
        <v>0</v>
      </c>
      <c r="AN113" s="61">
        <f t="shared" si="58"/>
        <v>0</v>
      </c>
      <c r="AO113" s="61">
        <f t="shared" si="58"/>
        <v>0</v>
      </c>
      <c r="AP113" s="61">
        <f t="shared" si="58"/>
        <v>0.86294485848749358</v>
      </c>
      <c r="AQ113" s="61">
        <f t="shared" si="58"/>
        <v>0.86294485848749358</v>
      </c>
      <c r="AR113" s="61">
        <f t="shared" si="58"/>
        <v>0.86294485848749358</v>
      </c>
      <c r="AS113" s="61">
        <f t="shared" si="59"/>
        <v>0.86294485848749358</v>
      </c>
      <c r="AT113" s="89">
        <f t="shared" si="59"/>
        <v>0.86294485848749358</v>
      </c>
      <c r="AU113" s="96">
        <f t="shared" si="59"/>
        <v>0.86294485848749358</v>
      </c>
      <c r="AV113" s="61">
        <f t="shared" si="59"/>
        <v>0.86294485848749358</v>
      </c>
      <c r="AW113" s="61">
        <f t="shared" si="59"/>
        <v>0.86294485848749358</v>
      </c>
      <c r="AX113" s="61">
        <f t="shared" si="59"/>
        <v>0.86294485848749358</v>
      </c>
      <c r="AY113" s="61">
        <f t="shared" si="59"/>
        <v>0.86294485848749358</v>
      </c>
      <c r="BA113" s="116" t="str">
        <f t="shared" ca="1" si="48"/>
        <v>Depreciation</v>
      </c>
      <c r="BB113" s="1" t="str">
        <f t="shared" si="56"/>
        <v>Differential</v>
      </c>
    </row>
    <row r="114" spans="1:54">
      <c r="E114" s="68">
        <v>43555</v>
      </c>
      <c r="G114" s="68" t="str">
        <f t="shared" si="51"/>
        <v>£m 23/24 prices</v>
      </c>
      <c r="I114" s="61">
        <f t="shared" si="52"/>
        <v>10.611188329331055</v>
      </c>
      <c r="J114" s="43" t="s">
        <v>10</v>
      </c>
      <c r="Y114" s="61">
        <f t="shared" si="57"/>
        <v>0</v>
      </c>
      <c r="Z114" s="61">
        <f t="shared" si="57"/>
        <v>0</v>
      </c>
      <c r="AA114" s="61">
        <f t="shared" si="57"/>
        <v>0</v>
      </c>
      <c r="AB114" s="61">
        <f t="shared" si="57"/>
        <v>0</v>
      </c>
      <c r="AC114" s="61">
        <f t="shared" si="57"/>
        <v>0</v>
      </c>
      <c r="AD114" s="61">
        <f t="shared" si="57"/>
        <v>0</v>
      </c>
      <c r="AE114" s="61">
        <f t="shared" si="57"/>
        <v>0</v>
      </c>
      <c r="AF114" s="61">
        <f t="shared" si="57"/>
        <v>0</v>
      </c>
      <c r="AG114" s="61">
        <f t="shared" si="57"/>
        <v>0</v>
      </c>
      <c r="AH114" s="61">
        <f t="shared" si="57"/>
        <v>0</v>
      </c>
      <c r="AI114" s="61">
        <f t="shared" si="58"/>
        <v>0</v>
      </c>
      <c r="AJ114" s="61">
        <f t="shared" si="58"/>
        <v>0</v>
      </c>
      <c r="AK114" s="61">
        <f t="shared" si="58"/>
        <v>0</v>
      </c>
      <c r="AL114" s="61">
        <f t="shared" si="58"/>
        <v>0</v>
      </c>
      <c r="AM114" s="61">
        <f t="shared" si="58"/>
        <v>0</v>
      </c>
      <c r="AN114" s="61">
        <f t="shared" si="58"/>
        <v>0</v>
      </c>
      <c r="AO114" s="61">
        <f t="shared" si="58"/>
        <v>0</v>
      </c>
      <c r="AP114" s="61">
        <f t="shared" si="58"/>
        <v>0.5305594164665528</v>
      </c>
      <c r="AQ114" s="61">
        <f t="shared" si="58"/>
        <v>0.5305594164665528</v>
      </c>
      <c r="AR114" s="61">
        <f t="shared" si="58"/>
        <v>0.5305594164665528</v>
      </c>
      <c r="AS114" s="61">
        <f t="shared" si="59"/>
        <v>0.5305594164665528</v>
      </c>
      <c r="AT114" s="89">
        <f t="shared" si="59"/>
        <v>0.5305594164665528</v>
      </c>
      <c r="AU114" s="96">
        <f t="shared" si="59"/>
        <v>0.5305594164665528</v>
      </c>
      <c r="AV114" s="61">
        <f t="shared" si="59"/>
        <v>0.5305594164665528</v>
      </c>
      <c r="AW114" s="61">
        <f t="shared" si="59"/>
        <v>0.5305594164665528</v>
      </c>
      <c r="AX114" s="61">
        <f t="shared" si="59"/>
        <v>0.5305594164665528</v>
      </c>
      <c r="AY114" s="61">
        <f t="shared" si="59"/>
        <v>0.5305594164665528</v>
      </c>
      <c r="BA114" s="116" t="str">
        <f t="shared" ca="1" si="48"/>
        <v>Depreciation</v>
      </c>
      <c r="BB114" s="1" t="str">
        <f t="shared" si="56"/>
        <v>Differential</v>
      </c>
    </row>
    <row r="115" spans="1:54">
      <c r="E115" s="68">
        <v>43921</v>
      </c>
      <c r="G115" s="68" t="str">
        <f t="shared" si="51"/>
        <v>£m 23/24 prices</v>
      </c>
      <c r="I115" s="61">
        <f t="shared" si="52"/>
        <v>4.5873794203967693</v>
      </c>
      <c r="J115" s="43" t="s">
        <v>10</v>
      </c>
      <c r="Y115" s="61">
        <f t="shared" si="57"/>
        <v>0</v>
      </c>
      <c r="Z115" s="61">
        <f t="shared" si="57"/>
        <v>0</v>
      </c>
      <c r="AA115" s="61">
        <f t="shared" si="57"/>
        <v>0</v>
      </c>
      <c r="AB115" s="61">
        <f t="shared" si="57"/>
        <v>0</v>
      </c>
      <c r="AC115" s="61">
        <f t="shared" si="57"/>
        <v>0</v>
      </c>
      <c r="AD115" s="61">
        <f t="shared" si="57"/>
        <v>0</v>
      </c>
      <c r="AE115" s="61">
        <f t="shared" si="57"/>
        <v>0</v>
      </c>
      <c r="AF115" s="61">
        <f t="shared" si="57"/>
        <v>0</v>
      </c>
      <c r="AG115" s="61">
        <f t="shared" si="57"/>
        <v>0</v>
      </c>
      <c r="AH115" s="61">
        <f t="shared" si="57"/>
        <v>0</v>
      </c>
      <c r="AI115" s="61">
        <f t="shared" si="58"/>
        <v>0</v>
      </c>
      <c r="AJ115" s="61">
        <f t="shared" si="58"/>
        <v>0</v>
      </c>
      <c r="AK115" s="61">
        <f t="shared" si="58"/>
        <v>0</v>
      </c>
      <c r="AL115" s="61">
        <f t="shared" si="58"/>
        <v>0</v>
      </c>
      <c r="AM115" s="61">
        <f t="shared" si="58"/>
        <v>0</v>
      </c>
      <c r="AN115" s="61">
        <f t="shared" si="58"/>
        <v>0</v>
      </c>
      <c r="AO115" s="61">
        <f t="shared" si="58"/>
        <v>0</v>
      </c>
      <c r="AP115" s="61">
        <f t="shared" si="58"/>
        <v>0.22936897101983847</v>
      </c>
      <c r="AQ115" s="61">
        <f t="shared" si="58"/>
        <v>0.22936897101983847</v>
      </c>
      <c r="AR115" s="61">
        <f t="shared" si="58"/>
        <v>0.22936897101983847</v>
      </c>
      <c r="AS115" s="61">
        <f t="shared" si="59"/>
        <v>0.22936897101983847</v>
      </c>
      <c r="AT115" s="89">
        <f t="shared" si="59"/>
        <v>0.22936897101983847</v>
      </c>
      <c r="AU115" s="96">
        <f t="shared" si="59"/>
        <v>0.22936897101983847</v>
      </c>
      <c r="AV115" s="61">
        <f t="shared" si="59"/>
        <v>0.22936897101983847</v>
      </c>
      <c r="AW115" s="61">
        <f t="shared" si="59"/>
        <v>0.22936897101983847</v>
      </c>
      <c r="AX115" s="61">
        <f t="shared" si="59"/>
        <v>0.22936897101983847</v>
      </c>
      <c r="AY115" s="61">
        <f t="shared" si="59"/>
        <v>0.22936897101983847</v>
      </c>
      <c r="BA115" s="116" t="str">
        <f t="shared" ca="1" si="48"/>
        <v>Depreciation</v>
      </c>
      <c r="BB115" s="1" t="str">
        <f t="shared" si="56"/>
        <v>Differential</v>
      </c>
    </row>
    <row r="116" spans="1:54">
      <c r="E116" s="68">
        <v>44286</v>
      </c>
      <c r="G116" s="68" t="str">
        <f t="shared" si="51"/>
        <v>£m 23/24 prices</v>
      </c>
      <c r="I116" s="61">
        <f t="shared" si="52"/>
        <v>0</v>
      </c>
      <c r="J116" s="43" t="s">
        <v>10</v>
      </c>
      <c r="Y116" s="61">
        <f t="shared" si="57"/>
        <v>0</v>
      </c>
      <c r="Z116" s="61">
        <f t="shared" si="57"/>
        <v>0</v>
      </c>
      <c r="AA116" s="61">
        <f t="shared" si="57"/>
        <v>0</v>
      </c>
      <c r="AB116" s="61">
        <f t="shared" si="57"/>
        <v>0</v>
      </c>
      <c r="AC116" s="61">
        <f t="shared" si="57"/>
        <v>0</v>
      </c>
      <c r="AD116" s="61">
        <f t="shared" si="57"/>
        <v>0</v>
      </c>
      <c r="AE116" s="61">
        <f t="shared" si="57"/>
        <v>0</v>
      </c>
      <c r="AF116" s="61">
        <f t="shared" si="57"/>
        <v>0</v>
      </c>
      <c r="AG116" s="61">
        <f t="shared" si="57"/>
        <v>0</v>
      </c>
      <c r="AH116" s="61">
        <f t="shared" si="57"/>
        <v>0</v>
      </c>
      <c r="AI116" s="61">
        <f t="shared" si="58"/>
        <v>0</v>
      </c>
      <c r="AJ116" s="61">
        <f t="shared" si="58"/>
        <v>0</v>
      </c>
      <c r="AK116" s="61">
        <f t="shared" si="58"/>
        <v>0</v>
      </c>
      <c r="AL116" s="61">
        <f t="shared" si="58"/>
        <v>0</v>
      </c>
      <c r="AM116" s="61">
        <f t="shared" si="58"/>
        <v>0</v>
      </c>
      <c r="AN116" s="61">
        <f t="shared" si="58"/>
        <v>0</v>
      </c>
      <c r="AO116" s="61">
        <f t="shared" si="58"/>
        <v>0</v>
      </c>
      <c r="AP116" s="61">
        <f t="shared" si="58"/>
        <v>0</v>
      </c>
      <c r="AQ116" s="61">
        <f t="shared" si="58"/>
        <v>0</v>
      </c>
      <c r="AR116" s="61">
        <f t="shared" si="58"/>
        <v>0</v>
      </c>
      <c r="AS116" s="61">
        <f t="shared" si="59"/>
        <v>0</v>
      </c>
      <c r="AT116" s="89">
        <f t="shared" si="59"/>
        <v>0</v>
      </c>
      <c r="AU116" s="96">
        <f t="shared" si="59"/>
        <v>0</v>
      </c>
      <c r="AV116" s="61">
        <f t="shared" si="59"/>
        <v>0</v>
      </c>
      <c r="AW116" s="61">
        <f t="shared" si="59"/>
        <v>0</v>
      </c>
      <c r="AX116" s="61">
        <f t="shared" si="59"/>
        <v>0</v>
      </c>
      <c r="AY116" s="61">
        <f t="shared" si="59"/>
        <v>0</v>
      </c>
      <c r="BA116" s="116" t="str">
        <f t="shared" ca="1" si="48"/>
        <v>Depreciation</v>
      </c>
      <c r="BB116" s="1" t="str">
        <f t="shared" si="56"/>
        <v>Differential</v>
      </c>
    </row>
    <row r="117" spans="1:54">
      <c r="E117" s="68">
        <v>44651</v>
      </c>
      <c r="G117" s="68" t="str">
        <f t="shared" si="51"/>
        <v>£m 23/24 prices</v>
      </c>
      <c r="I117" s="61">
        <f t="shared" si="52"/>
        <v>0</v>
      </c>
      <c r="J117" s="43" t="s">
        <v>10</v>
      </c>
      <c r="Y117" s="61">
        <f t="shared" si="57"/>
        <v>0</v>
      </c>
      <c r="Z117" s="61">
        <f t="shared" si="57"/>
        <v>0</v>
      </c>
      <c r="AA117" s="61">
        <f t="shared" si="57"/>
        <v>0</v>
      </c>
      <c r="AB117" s="61">
        <f t="shared" si="57"/>
        <v>0</v>
      </c>
      <c r="AC117" s="61">
        <f t="shared" si="57"/>
        <v>0</v>
      </c>
      <c r="AD117" s="61">
        <f t="shared" si="57"/>
        <v>0</v>
      </c>
      <c r="AE117" s="61">
        <f t="shared" si="57"/>
        <v>0</v>
      </c>
      <c r="AF117" s="61">
        <f t="shared" si="57"/>
        <v>0</v>
      </c>
      <c r="AG117" s="61">
        <f t="shared" si="57"/>
        <v>0</v>
      </c>
      <c r="AH117" s="61">
        <f t="shared" si="57"/>
        <v>0</v>
      </c>
      <c r="AI117" s="61">
        <f t="shared" si="58"/>
        <v>0</v>
      </c>
      <c r="AJ117" s="61">
        <f t="shared" si="58"/>
        <v>0</v>
      </c>
      <c r="AK117" s="61">
        <f t="shared" si="58"/>
        <v>0</v>
      </c>
      <c r="AL117" s="61">
        <f t="shared" si="58"/>
        <v>0</v>
      </c>
      <c r="AM117" s="61">
        <f t="shared" si="58"/>
        <v>0</v>
      </c>
      <c r="AN117" s="61">
        <f t="shared" si="58"/>
        <v>0</v>
      </c>
      <c r="AO117" s="61">
        <f t="shared" si="58"/>
        <v>0</v>
      </c>
      <c r="AP117" s="61">
        <f t="shared" si="58"/>
        <v>0</v>
      </c>
      <c r="AQ117" s="61">
        <f t="shared" si="58"/>
        <v>0</v>
      </c>
      <c r="AR117" s="61">
        <f t="shared" si="58"/>
        <v>0</v>
      </c>
      <c r="AS117" s="61">
        <f t="shared" si="59"/>
        <v>0</v>
      </c>
      <c r="AT117" s="89">
        <f t="shared" si="59"/>
        <v>0</v>
      </c>
      <c r="AU117" s="96">
        <f t="shared" si="59"/>
        <v>0</v>
      </c>
      <c r="AV117" s="61">
        <f t="shared" si="59"/>
        <v>0</v>
      </c>
      <c r="AW117" s="61">
        <f t="shared" si="59"/>
        <v>0</v>
      </c>
      <c r="AX117" s="61">
        <f t="shared" si="59"/>
        <v>0</v>
      </c>
      <c r="AY117" s="61">
        <f t="shared" si="59"/>
        <v>0</v>
      </c>
      <c r="BA117" s="116" t="str">
        <f t="shared" ca="1" si="48"/>
        <v>Depreciation</v>
      </c>
      <c r="BB117" s="1" t="str">
        <f t="shared" si="56"/>
        <v>Differential</v>
      </c>
    </row>
    <row r="118" spans="1:54">
      <c r="E118" s="68">
        <v>45016</v>
      </c>
      <c r="G118" s="68" t="str">
        <f t="shared" si="51"/>
        <v>£m 23/24 prices</v>
      </c>
      <c r="I118" s="61">
        <f t="shared" si="52"/>
        <v>0</v>
      </c>
      <c r="J118" s="43" t="s">
        <v>10</v>
      </c>
      <c r="Y118" s="61">
        <f t="shared" si="57"/>
        <v>0</v>
      </c>
      <c r="Z118" s="61">
        <f t="shared" si="57"/>
        <v>0</v>
      </c>
      <c r="AA118" s="61">
        <f t="shared" si="57"/>
        <v>0</v>
      </c>
      <c r="AB118" s="61">
        <f t="shared" si="57"/>
        <v>0</v>
      </c>
      <c r="AC118" s="61">
        <f t="shared" si="57"/>
        <v>0</v>
      </c>
      <c r="AD118" s="61">
        <f t="shared" si="57"/>
        <v>0</v>
      </c>
      <c r="AE118" s="61">
        <f t="shared" si="57"/>
        <v>0</v>
      </c>
      <c r="AF118" s="61">
        <f t="shared" si="57"/>
        <v>0</v>
      </c>
      <c r="AG118" s="61">
        <f t="shared" si="57"/>
        <v>0</v>
      </c>
      <c r="AH118" s="61">
        <f t="shared" si="57"/>
        <v>0</v>
      </c>
      <c r="AI118" s="61">
        <f t="shared" si="58"/>
        <v>0</v>
      </c>
      <c r="AJ118" s="61">
        <f t="shared" si="58"/>
        <v>0</v>
      </c>
      <c r="AK118" s="61">
        <f t="shared" si="58"/>
        <v>0</v>
      </c>
      <c r="AL118" s="61">
        <f t="shared" si="58"/>
        <v>0</v>
      </c>
      <c r="AM118" s="61">
        <f t="shared" si="58"/>
        <v>0</v>
      </c>
      <c r="AN118" s="61">
        <f t="shared" si="58"/>
        <v>0</v>
      </c>
      <c r="AO118" s="61">
        <f t="shared" si="58"/>
        <v>0</v>
      </c>
      <c r="AP118" s="61">
        <f t="shared" si="58"/>
        <v>0</v>
      </c>
      <c r="AQ118" s="61">
        <f t="shared" si="58"/>
        <v>0</v>
      </c>
      <c r="AR118" s="61">
        <f t="shared" si="58"/>
        <v>0</v>
      </c>
      <c r="AS118" s="61">
        <f t="shared" si="59"/>
        <v>0</v>
      </c>
      <c r="AT118" s="89">
        <f t="shared" si="59"/>
        <v>0</v>
      </c>
      <c r="AU118" s="96">
        <f t="shared" si="59"/>
        <v>0</v>
      </c>
      <c r="AV118" s="61">
        <f t="shared" si="59"/>
        <v>0</v>
      </c>
      <c r="AW118" s="61">
        <f t="shared" si="59"/>
        <v>0</v>
      </c>
      <c r="AX118" s="61">
        <f t="shared" si="59"/>
        <v>0</v>
      </c>
      <c r="AY118" s="61">
        <f t="shared" si="59"/>
        <v>0</v>
      </c>
      <c r="BA118" s="116" t="str">
        <f t="shared" ca="1" si="48"/>
        <v>Depreciation</v>
      </c>
      <c r="BB118" s="1" t="str">
        <f t="shared" si="56"/>
        <v>Differential</v>
      </c>
    </row>
    <row r="119" spans="1:54">
      <c r="E119" s="68">
        <v>45382</v>
      </c>
      <c r="G119" s="68" t="str">
        <f t="shared" si="51"/>
        <v>£m 23/24 prices</v>
      </c>
      <c r="I119" s="61">
        <f t="shared" si="52"/>
        <v>0</v>
      </c>
      <c r="J119" s="43" t="s">
        <v>10</v>
      </c>
      <c r="Y119" s="61">
        <f t="shared" ref="Y119:AH126" si="60">($I119/$I$18)*Y$97</f>
        <v>0</v>
      </c>
      <c r="Z119" s="61">
        <f t="shared" si="60"/>
        <v>0</v>
      </c>
      <c r="AA119" s="61">
        <f t="shared" si="60"/>
        <v>0</v>
      </c>
      <c r="AB119" s="61">
        <f t="shared" si="60"/>
        <v>0</v>
      </c>
      <c r="AC119" s="61">
        <f t="shared" si="60"/>
        <v>0</v>
      </c>
      <c r="AD119" s="61">
        <f t="shared" si="60"/>
        <v>0</v>
      </c>
      <c r="AE119" s="61">
        <f t="shared" si="60"/>
        <v>0</v>
      </c>
      <c r="AF119" s="61">
        <f t="shared" si="60"/>
        <v>0</v>
      </c>
      <c r="AG119" s="61">
        <f t="shared" si="60"/>
        <v>0</v>
      </c>
      <c r="AH119" s="61">
        <f t="shared" si="60"/>
        <v>0</v>
      </c>
      <c r="AI119" s="61">
        <f t="shared" ref="AI119:AR126" si="61">($I119/$I$18)*AI$97</f>
        <v>0</v>
      </c>
      <c r="AJ119" s="61">
        <f t="shared" si="61"/>
        <v>0</v>
      </c>
      <c r="AK119" s="61">
        <f t="shared" si="61"/>
        <v>0</v>
      </c>
      <c r="AL119" s="61">
        <f t="shared" si="61"/>
        <v>0</v>
      </c>
      <c r="AM119" s="61">
        <f t="shared" si="61"/>
        <v>0</v>
      </c>
      <c r="AN119" s="61">
        <f t="shared" si="61"/>
        <v>0</v>
      </c>
      <c r="AO119" s="61">
        <f t="shared" si="61"/>
        <v>0</v>
      </c>
      <c r="AP119" s="61">
        <f t="shared" si="61"/>
        <v>0</v>
      </c>
      <c r="AQ119" s="61">
        <f t="shared" si="61"/>
        <v>0</v>
      </c>
      <c r="AR119" s="61">
        <f t="shared" si="61"/>
        <v>0</v>
      </c>
      <c r="AS119" s="61">
        <f t="shared" ref="AS119:AY126" si="62">($I119/$I$18)*AS$97</f>
        <v>0</v>
      </c>
      <c r="AT119" s="89">
        <f t="shared" si="62"/>
        <v>0</v>
      </c>
      <c r="AU119" s="96">
        <f t="shared" si="62"/>
        <v>0</v>
      </c>
      <c r="AV119" s="61">
        <f t="shared" si="62"/>
        <v>0</v>
      </c>
      <c r="AW119" s="61">
        <f t="shared" si="62"/>
        <v>0</v>
      </c>
      <c r="AX119" s="61">
        <f t="shared" si="62"/>
        <v>0</v>
      </c>
      <c r="AY119" s="61">
        <f t="shared" si="62"/>
        <v>0</v>
      </c>
      <c r="BA119" s="116" t="str">
        <f t="shared" ca="1" si="48"/>
        <v>Depreciation</v>
      </c>
      <c r="BB119" s="1" t="str">
        <f t="shared" si="56"/>
        <v>Differential</v>
      </c>
    </row>
    <row r="120" spans="1:54">
      <c r="E120" s="68">
        <v>45747</v>
      </c>
      <c r="G120" s="68" t="str">
        <f t="shared" si="51"/>
        <v>£m 23/24 prices</v>
      </c>
      <c r="I120" s="61">
        <f t="shared" si="52"/>
        <v>0</v>
      </c>
      <c r="J120" s="43" t="s">
        <v>10</v>
      </c>
      <c r="Y120" s="61">
        <f t="shared" si="60"/>
        <v>0</v>
      </c>
      <c r="Z120" s="61">
        <f t="shared" si="60"/>
        <v>0</v>
      </c>
      <c r="AA120" s="61">
        <f t="shared" si="60"/>
        <v>0</v>
      </c>
      <c r="AB120" s="61">
        <f t="shared" si="60"/>
        <v>0</v>
      </c>
      <c r="AC120" s="61">
        <f t="shared" si="60"/>
        <v>0</v>
      </c>
      <c r="AD120" s="61">
        <f t="shared" si="60"/>
        <v>0</v>
      </c>
      <c r="AE120" s="61">
        <f t="shared" si="60"/>
        <v>0</v>
      </c>
      <c r="AF120" s="61">
        <f t="shared" si="60"/>
        <v>0</v>
      </c>
      <c r="AG120" s="61">
        <f t="shared" si="60"/>
        <v>0</v>
      </c>
      <c r="AH120" s="61">
        <f t="shared" si="60"/>
        <v>0</v>
      </c>
      <c r="AI120" s="61">
        <f t="shared" si="61"/>
        <v>0</v>
      </c>
      <c r="AJ120" s="61">
        <f t="shared" si="61"/>
        <v>0</v>
      </c>
      <c r="AK120" s="61">
        <f t="shared" si="61"/>
        <v>0</v>
      </c>
      <c r="AL120" s="61">
        <f t="shared" si="61"/>
        <v>0</v>
      </c>
      <c r="AM120" s="61">
        <f t="shared" si="61"/>
        <v>0</v>
      </c>
      <c r="AN120" s="61">
        <f t="shared" si="61"/>
        <v>0</v>
      </c>
      <c r="AO120" s="61">
        <f t="shared" si="61"/>
        <v>0</v>
      </c>
      <c r="AP120" s="61">
        <f t="shared" si="61"/>
        <v>0</v>
      </c>
      <c r="AQ120" s="61">
        <f t="shared" si="61"/>
        <v>0</v>
      </c>
      <c r="AR120" s="61">
        <f t="shared" si="61"/>
        <v>0</v>
      </c>
      <c r="AS120" s="61">
        <f t="shared" si="62"/>
        <v>0</v>
      </c>
      <c r="AT120" s="89">
        <f t="shared" si="62"/>
        <v>0</v>
      </c>
      <c r="AU120" s="96">
        <f t="shared" si="62"/>
        <v>0</v>
      </c>
      <c r="AV120" s="61">
        <f t="shared" si="62"/>
        <v>0</v>
      </c>
      <c r="AW120" s="61">
        <f t="shared" si="62"/>
        <v>0</v>
      </c>
      <c r="AX120" s="61">
        <f t="shared" si="62"/>
        <v>0</v>
      </c>
      <c r="AY120" s="61">
        <f t="shared" si="62"/>
        <v>0</v>
      </c>
      <c r="BA120" s="116" t="str">
        <f t="shared" ca="1" si="48"/>
        <v>Depreciation</v>
      </c>
      <c r="BB120" s="1" t="str">
        <f t="shared" si="56"/>
        <v>Differential</v>
      </c>
    </row>
    <row r="121" spans="1:54">
      <c r="E121" s="68">
        <v>46112</v>
      </c>
      <c r="G121" s="68" t="str">
        <f t="shared" si="51"/>
        <v>£m 23/24 prices</v>
      </c>
      <c r="I121" s="61">
        <f t="shared" si="52"/>
        <v>0</v>
      </c>
      <c r="J121" s="43" t="s">
        <v>10</v>
      </c>
      <c r="Y121" s="61">
        <f t="shared" si="60"/>
        <v>0</v>
      </c>
      <c r="Z121" s="61">
        <f t="shared" si="60"/>
        <v>0</v>
      </c>
      <c r="AA121" s="61">
        <f t="shared" si="60"/>
        <v>0</v>
      </c>
      <c r="AB121" s="61">
        <f t="shared" si="60"/>
        <v>0</v>
      </c>
      <c r="AC121" s="61">
        <f t="shared" si="60"/>
        <v>0</v>
      </c>
      <c r="AD121" s="61">
        <f t="shared" si="60"/>
        <v>0</v>
      </c>
      <c r="AE121" s="61">
        <f t="shared" si="60"/>
        <v>0</v>
      </c>
      <c r="AF121" s="61">
        <f t="shared" si="60"/>
        <v>0</v>
      </c>
      <c r="AG121" s="61">
        <f t="shared" si="60"/>
        <v>0</v>
      </c>
      <c r="AH121" s="61">
        <f t="shared" si="60"/>
        <v>0</v>
      </c>
      <c r="AI121" s="61">
        <f t="shared" si="61"/>
        <v>0</v>
      </c>
      <c r="AJ121" s="61">
        <f t="shared" si="61"/>
        <v>0</v>
      </c>
      <c r="AK121" s="61">
        <f t="shared" si="61"/>
        <v>0</v>
      </c>
      <c r="AL121" s="61">
        <f t="shared" si="61"/>
        <v>0</v>
      </c>
      <c r="AM121" s="61">
        <f t="shared" si="61"/>
        <v>0</v>
      </c>
      <c r="AN121" s="61">
        <f t="shared" si="61"/>
        <v>0</v>
      </c>
      <c r="AO121" s="61">
        <f t="shared" si="61"/>
        <v>0</v>
      </c>
      <c r="AP121" s="61">
        <f t="shared" si="61"/>
        <v>0</v>
      </c>
      <c r="AQ121" s="61">
        <f t="shared" si="61"/>
        <v>0</v>
      </c>
      <c r="AR121" s="61">
        <f t="shared" si="61"/>
        <v>0</v>
      </c>
      <c r="AS121" s="61">
        <f t="shared" si="62"/>
        <v>0</v>
      </c>
      <c r="AT121" s="89">
        <f t="shared" si="62"/>
        <v>0</v>
      </c>
      <c r="AU121" s="96">
        <f t="shared" si="62"/>
        <v>0</v>
      </c>
      <c r="AV121" s="61">
        <f t="shared" si="62"/>
        <v>0</v>
      </c>
      <c r="AW121" s="61">
        <f t="shared" si="62"/>
        <v>0</v>
      </c>
      <c r="AX121" s="61">
        <f t="shared" si="62"/>
        <v>0</v>
      </c>
      <c r="AY121" s="61">
        <f t="shared" si="62"/>
        <v>0</v>
      </c>
      <c r="BA121" s="116" t="str">
        <f t="shared" ca="1" si="48"/>
        <v>Depreciation</v>
      </c>
      <c r="BB121" s="1" t="str">
        <f t="shared" si="56"/>
        <v>Differential</v>
      </c>
    </row>
    <row r="122" spans="1:54">
      <c r="E122" s="68">
        <v>46477</v>
      </c>
      <c r="G122" t="str">
        <f t="shared" si="51"/>
        <v>£m 23/24 prices</v>
      </c>
      <c r="I122" s="61">
        <f t="shared" si="52"/>
        <v>0</v>
      </c>
      <c r="J122" s="43" t="s">
        <v>10</v>
      </c>
      <c r="Y122" s="61">
        <f t="shared" si="60"/>
        <v>0</v>
      </c>
      <c r="Z122" s="61">
        <f t="shared" si="60"/>
        <v>0</v>
      </c>
      <c r="AA122" s="61">
        <f t="shared" si="60"/>
        <v>0</v>
      </c>
      <c r="AB122" s="61">
        <f t="shared" si="60"/>
        <v>0</v>
      </c>
      <c r="AC122" s="61">
        <f t="shared" si="60"/>
        <v>0</v>
      </c>
      <c r="AD122" s="61">
        <f t="shared" si="60"/>
        <v>0</v>
      </c>
      <c r="AE122" s="61">
        <f t="shared" si="60"/>
        <v>0</v>
      </c>
      <c r="AF122" s="61">
        <f t="shared" si="60"/>
        <v>0</v>
      </c>
      <c r="AG122" s="61">
        <f t="shared" si="60"/>
        <v>0</v>
      </c>
      <c r="AH122" s="61">
        <f t="shared" si="60"/>
        <v>0</v>
      </c>
      <c r="AI122" s="61">
        <f t="shared" si="61"/>
        <v>0</v>
      </c>
      <c r="AJ122" s="61">
        <f t="shared" si="61"/>
        <v>0</v>
      </c>
      <c r="AK122" s="61">
        <f t="shared" si="61"/>
        <v>0</v>
      </c>
      <c r="AL122" s="61">
        <f t="shared" si="61"/>
        <v>0</v>
      </c>
      <c r="AM122" s="61">
        <f t="shared" si="61"/>
        <v>0</v>
      </c>
      <c r="AN122" s="61">
        <f t="shared" si="61"/>
        <v>0</v>
      </c>
      <c r="AO122" s="61">
        <f t="shared" si="61"/>
        <v>0</v>
      </c>
      <c r="AP122" s="61">
        <f t="shared" si="61"/>
        <v>0</v>
      </c>
      <c r="AQ122" s="61">
        <f t="shared" si="61"/>
        <v>0</v>
      </c>
      <c r="AR122" s="61">
        <f t="shared" si="61"/>
        <v>0</v>
      </c>
      <c r="AS122" s="61">
        <f t="shared" si="62"/>
        <v>0</v>
      </c>
      <c r="AT122" s="89">
        <f t="shared" si="62"/>
        <v>0</v>
      </c>
      <c r="AU122" s="96">
        <f t="shared" si="62"/>
        <v>0</v>
      </c>
      <c r="AV122" s="61">
        <f t="shared" si="62"/>
        <v>0</v>
      </c>
      <c r="AW122" s="61">
        <f t="shared" si="62"/>
        <v>0</v>
      </c>
      <c r="AX122" s="61">
        <f t="shared" si="62"/>
        <v>0</v>
      </c>
      <c r="AY122" s="61">
        <f t="shared" si="62"/>
        <v>0</v>
      </c>
      <c r="BA122" s="116" t="str">
        <f t="shared" ca="1" si="48"/>
        <v>Depreciation</v>
      </c>
      <c r="BB122" s="1" t="str">
        <f t="shared" si="56"/>
        <v>Differential</v>
      </c>
    </row>
    <row r="123" spans="1:54">
      <c r="E123" s="68">
        <v>46843</v>
      </c>
      <c r="G123" t="str">
        <f t="shared" si="51"/>
        <v>£m 23/24 prices</v>
      </c>
      <c r="I123" s="61">
        <f t="shared" si="52"/>
        <v>0</v>
      </c>
      <c r="J123" s="43" t="s">
        <v>10</v>
      </c>
      <c r="Y123" s="61">
        <f t="shared" si="60"/>
        <v>0</v>
      </c>
      <c r="Z123" s="61">
        <f t="shared" si="60"/>
        <v>0</v>
      </c>
      <c r="AA123" s="61">
        <f t="shared" si="60"/>
        <v>0</v>
      </c>
      <c r="AB123" s="61">
        <f t="shared" si="60"/>
        <v>0</v>
      </c>
      <c r="AC123" s="61">
        <f t="shared" si="60"/>
        <v>0</v>
      </c>
      <c r="AD123" s="61">
        <f t="shared" si="60"/>
        <v>0</v>
      </c>
      <c r="AE123" s="61">
        <f t="shared" si="60"/>
        <v>0</v>
      </c>
      <c r="AF123" s="61">
        <f t="shared" si="60"/>
        <v>0</v>
      </c>
      <c r="AG123" s="61">
        <f t="shared" si="60"/>
        <v>0</v>
      </c>
      <c r="AH123" s="61">
        <f t="shared" si="60"/>
        <v>0</v>
      </c>
      <c r="AI123" s="61">
        <f t="shared" si="61"/>
        <v>0</v>
      </c>
      <c r="AJ123" s="61">
        <f t="shared" si="61"/>
        <v>0</v>
      </c>
      <c r="AK123" s="61">
        <f t="shared" si="61"/>
        <v>0</v>
      </c>
      <c r="AL123" s="61">
        <f t="shared" si="61"/>
        <v>0</v>
      </c>
      <c r="AM123" s="61">
        <f t="shared" si="61"/>
        <v>0</v>
      </c>
      <c r="AN123" s="61">
        <f t="shared" si="61"/>
        <v>0</v>
      </c>
      <c r="AO123" s="61">
        <f t="shared" si="61"/>
        <v>0</v>
      </c>
      <c r="AP123" s="61">
        <f t="shared" si="61"/>
        <v>0</v>
      </c>
      <c r="AQ123" s="61">
        <f t="shared" si="61"/>
        <v>0</v>
      </c>
      <c r="AR123" s="61">
        <f t="shared" si="61"/>
        <v>0</v>
      </c>
      <c r="AS123" s="61">
        <f t="shared" si="62"/>
        <v>0</v>
      </c>
      <c r="AT123" s="89">
        <f t="shared" si="62"/>
        <v>0</v>
      </c>
      <c r="AU123" s="96">
        <f t="shared" si="62"/>
        <v>0</v>
      </c>
      <c r="AV123" s="61">
        <f t="shared" si="62"/>
        <v>0</v>
      </c>
      <c r="AW123" s="61">
        <f t="shared" si="62"/>
        <v>0</v>
      </c>
      <c r="AX123" s="61">
        <f t="shared" si="62"/>
        <v>0</v>
      </c>
      <c r="AY123" s="61">
        <f t="shared" si="62"/>
        <v>0</v>
      </c>
      <c r="BA123" s="116" t="str">
        <f t="shared" ca="1" si="48"/>
        <v>Depreciation</v>
      </c>
      <c r="BB123" s="1" t="str">
        <f t="shared" si="56"/>
        <v>Differential</v>
      </c>
    </row>
    <row r="124" spans="1:54">
      <c r="E124" s="68">
        <v>47208</v>
      </c>
      <c r="G124" t="str">
        <f t="shared" si="51"/>
        <v>£m 23/24 prices</v>
      </c>
      <c r="I124" s="61">
        <f t="shared" si="52"/>
        <v>0</v>
      </c>
      <c r="J124" s="43" t="s">
        <v>10</v>
      </c>
      <c r="Y124" s="61">
        <f t="shared" si="60"/>
        <v>0</v>
      </c>
      <c r="Z124" s="61">
        <f t="shared" si="60"/>
        <v>0</v>
      </c>
      <c r="AA124" s="61">
        <f t="shared" si="60"/>
        <v>0</v>
      </c>
      <c r="AB124" s="61">
        <f t="shared" si="60"/>
        <v>0</v>
      </c>
      <c r="AC124" s="61">
        <f t="shared" si="60"/>
        <v>0</v>
      </c>
      <c r="AD124" s="61">
        <f t="shared" si="60"/>
        <v>0</v>
      </c>
      <c r="AE124" s="61">
        <f t="shared" si="60"/>
        <v>0</v>
      </c>
      <c r="AF124" s="61">
        <f t="shared" si="60"/>
        <v>0</v>
      </c>
      <c r="AG124" s="61">
        <f t="shared" si="60"/>
        <v>0</v>
      </c>
      <c r="AH124" s="61">
        <f t="shared" si="60"/>
        <v>0</v>
      </c>
      <c r="AI124" s="61">
        <f t="shared" si="61"/>
        <v>0</v>
      </c>
      <c r="AJ124" s="61">
        <f t="shared" si="61"/>
        <v>0</v>
      </c>
      <c r="AK124" s="61">
        <f t="shared" si="61"/>
        <v>0</v>
      </c>
      <c r="AL124" s="61">
        <f t="shared" si="61"/>
        <v>0</v>
      </c>
      <c r="AM124" s="61">
        <f t="shared" si="61"/>
        <v>0</v>
      </c>
      <c r="AN124" s="61">
        <f t="shared" si="61"/>
        <v>0</v>
      </c>
      <c r="AO124" s="61">
        <f t="shared" si="61"/>
        <v>0</v>
      </c>
      <c r="AP124" s="61">
        <f t="shared" si="61"/>
        <v>0</v>
      </c>
      <c r="AQ124" s="61">
        <f t="shared" si="61"/>
        <v>0</v>
      </c>
      <c r="AR124" s="61">
        <f t="shared" si="61"/>
        <v>0</v>
      </c>
      <c r="AS124" s="61">
        <f t="shared" si="62"/>
        <v>0</v>
      </c>
      <c r="AT124" s="89">
        <f t="shared" si="62"/>
        <v>0</v>
      </c>
      <c r="AU124" s="96">
        <f t="shared" si="62"/>
        <v>0</v>
      </c>
      <c r="AV124" s="61">
        <f t="shared" si="62"/>
        <v>0</v>
      </c>
      <c r="AW124" s="61">
        <f t="shared" si="62"/>
        <v>0</v>
      </c>
      <c r="AX124" s="61">
        <f t="shared" si="62"/>
        <v>0</v>
      </c>
      <c r="AY124" s="61">
        <f t="shared" si="62"/>
        <v>0</v>
      </c>
      <c r="BA124" s="116" t="str">
        <f t="shared" ca="1" si="48"/>
        <v>Depreciation</v>
      </c>
      <c r="BB124" s="1" t="str">
        <f t="shared" si="56"/>
        <v>Differential</v>
      </c>
    </row>
    <row r="125" spans="1:54">
      <c r="E125" s="68">
        <v>47573</v>
      </c>
      <c r="G125" t="str">
        <f t="shared" si="51"/>
        <v>£m 23/24 prices</v>
      </c>
      <c r="I125" s="61">
        <f t="shared" si="52"/>
        <v>0</v>
      </c>
      <c r="J125" s="43" t="s">
        <v>10</v>
      </c>
      <c r="Y125" s="61">
        <f t="shared" si="60"/>
        <v>0</v>
      </c>
      <c r="Z125" s="61">
        <f t="shared" si="60"/>
        <v>0</v>
      </c>
      <c r="AA125" s="61">
        <f t="shared" si="60"/>
        <v>0</v>
      </c>
      <c r="AB125" s="61">
        <f t="shared" si="60"/>
        <v>0</v>
      </c>
      <c r="AC125" s="61">
        <f t="shared" si="60"/>
        <v>0</v>
      </c>
      <c r="AD125" s="61">
        <f t="shared" si="60"/>
        <v>0</v>
      </c>
      <c r="AE125" s="61">
        <f t="shared" si="60"/>
        <v>0</v>
      </c>
      <c r="AF125" s="61">
        <f t="shared" si="60"/>
        <v>0</v>
      </c>
      <c r="AG125" s="61">
        <f t="shared" si="60"/>
        <v>0</v>
      </c>
      <c r="AH125" s="61">
        <f t="shared" si="60"/>
        <v>0</v>
      </c>
      <c r="AI125" s="61">
        <f t="shared" si="61"/>
        <v>0</v>
      </c>
      <c r="AJ125" s="61">
        <f t="shared" si="61"/>
        <v>0</v>
      </c>
      <c r="AK125" s="61">
        <f t="shared" si="61"/>
        <v>0</v>
      </c>
      <c r="AL125" s="61">
        <f t="shared" si="61"/>
        <v>0</v>
      </c>
      <c r="AM125" s="61">
        <f t="shared" si="61"/>
        <v>0</v>
      </c>
      <c r="AN125" s="61">
        <f t="shared" si="61"/>
        <v>0</v>
      </c>
      <c r="AO125" s="61">
        <f t="shared" si="61"/>
        <v>0</v>
      </c>
      <c r="AP125" s="61">
        <f t="shared" si="61"/>
        <v>0</v>
      </c>
      <c r="AQ125" s="61">
        <f t="shared" si="61"/>
        <v>0</v>
      </c>
      <c r="AR125" s="61">
        <f t="shared" si="61"/>
        <v>0</v>
      </c>
      <c r="AS125" s="61">
        <f t="shared" si="62"/>
        <v>0</v>
      </c>
      <c r="AT125" s="89">
        <f t="shared" si="62"/>
        <v>0</v>
      </c>
      <c r="AU125" s="96">
        <f t="shared" si="62"/>
        <v>0</v>
      </c>
      <c r="AV125" s="61">
        <f t="shared" si="62"/>
        <v>0</v>
      </c>
      <c r="AW125" s="61">
        <f t="shared" si="62"/>
        <v>0</v>
      </c>
      <c r="AX125" s="61">
        <f t="shared" si="62"/>
        <v>0</v>
      </c>
      <c r="AY125" s="61">
        <f t="shared" si="62"/>
        <v>0</v>
      </c>
      <c r="BA125" s="116" t="str">
        <f t="shared" ca="1" si="48"/>
        <v>Depreciation</v>
      </c>
      <c r="BB125" s="1" t="str">
        <f t="shared" si="56"/>
        <v>Differential</v>
      </c>
    </row>
    <row r="126" spans="1:54">
      <c r="E126" s="68">
        <v>47938</v>
      </c>
      <c r="G126" t="str">
        <f t="shared" si="51"/>
        <v>£m 23/24 prices</v>
      </c>
      <c r="I126" s="61">
        <f t="shared" si="52"/>
        <v>0</v>
      </c>
      <c r="J126" s="43" t="s">
        <v>10</v>
      </c>
      <c r="Y126" s="61">
        <f t="shared" si="60"/>
        <v>0</v>
      </c>
      <c r="Z126" s="61">
        <f t="shared" si="60"/>
        <v>0</v>
      </c>
      <c r="AA126" s="61">
        <f t="shared" si="60"/>
        <v>0</v>
      </c>
      <c r="AB126" s="61">
        <f t="shared" si="60"/>
        <v>0</v>
      </c>
      <c r="AC126" s="61">
        <f t="shared" si="60"/>
        <v>0</v>
      </c>
      <c r="AD126" s="61">
        <f t="shared" si="60"/>
        <v>0</v>
      </c>
      <c r="AE126" s="61">
        <f t="shared" si="60"/>
        <v>0</v>
      </c>
      <c r="AF126" s="61">
        <f t="shared" si="60"/>
        <v>0</v>
      </c>
      <c r="AG126" s="61">
        <f t="shared" si="60"/>
        <v>0</v>
      </c>
      <c r="AH126" s="61">
        <f t="shared" si="60"/>
        <v>0</v>
      </c>
      <c r="AI126" s="61">
        <f t="shared" si="61"/>
        <v>0</v>
      </c>
      <c r="AJ126" s="61">
        <f t="shared" si="61"/>
        <v>0</v>
      </c>
      <c r="AK126" s="61">
        <f t="shared" si="61"/>
        <v>0</v>
      </c>
      <c r="AL126" s="61">
        <f t="shared" si="61"/>
        <v>0</v>
      </c>
      <c r="AM126" s="61">
        <f t="shared" si="61"/>
        <v>0</v>
      </c>
      <c r="AN126" s="61">
        <f t="shared" si="61"/>
        <v>0</v>
      </c>
      <c r="AO126" s="61">
        <f t="shared" si="61"/>
        <v>0</v>
      </c>
      <c r="AP126" s="61">
        <f t="shared" si="61"/>
        <v>0</v>
      </c>
      <c r="AQ126" s="61">
        <f t="shared" si="61"/>
        <v>0</v>
      </c>
      <c r="AR126" s="61">
        <f t="shared" si="61"/>
        <v>0</v>
      </c>
      <c r="AS126" s="61">
        <f t="shared" si="62"/>
        <v>0</v>
      </c>
      <c r="AT126" s="89">
        <f t="shared" si="62"/>
        <v>0</v>
      </c>
      <c r="AU126" s="96">
        <f t="shared" si="62"/>
        <v>0</v>
      </c>
      <c r="AV126" s="61">
        <f t="shared" si="62"/>
        <v>0</v>
      </c>
      <c r="AW126" s="61">
        <f t="shared" si="62"/>
        <v>0</v>
      </c>
      <c r="AX126" s="61">
        <f t="shared" si="62"/>
        <v>0</v>
      </c>
      <c r="AY126" s="61">
        <f t="shared" si="62"/>
        <v>0</v>
      </c>
      <c r="BA126" s="116" t="str">
        <f t="shared" ca="1" si="48"/>
        <v>Depreciation</v>
      </c>
      <c r="BB126" s="1" t="str">
        <f t="shared" si="56"/>
        <v>Differential</v>
      </c>
    </row>
    <row r="127" spans="1:54">
      <c r="E127" s="68"/>
    </row>
    <row r="128" spans="1:54" ht="20" thickBot="1">
      <c r="A128" s="15" t="s">
        <v>154</v>
      </c>
    </row>
    <row r="129" spans="1:58" ht="15" thickTop="1">
      <c r="E129" t="s">
        <v>676</v>
      </c>
      <c r="G129" t="s">
        <v>106</v>
      </c>
      <c r="J129" s="43" t="s">
        <v>10</v>
      </c>
      <c r="Y129" s="61">
        <f t="shared" ref="Y129:AY129" si="63">(Y$4&gt;=$I$12)*1</f>
        <v>0</v>
      </c>
      <c r="Z129" s="61">
        <f t="shared" si="63"/>
        <v>0</v>
      </c>
      <c r="AA129" s="61">
        <f t="shared" si="63"/>
        <v>0</v>
      </c>
      <c r="AB129" s="61">
        <f t="shared" si="63"/>
        <v>0</v>
      </c>
      <c r="AC129" s="61">
        <f t="shared" si="63"/>
        <v>0</v>
      </c>
      <c r="AD129" s="61">
        <f t="shared" si="63"/>
        <v>0</v>
      </c>
      <c r="AE129" s="61">
        <f t="shared" si="63"/>
        <v>0</v>
      </c>
      <c r="AF129" s="61">
        <f t="shared" si="63"/>
        <v>0</v>
      </c>
      <c r="AG129" s="61">
        <f t="shared" si="63"/>
        <v>0</v>
      </c>
      <c r="AH129" s="61">
        <f t="shared" si="63"/>
        <v>0</v>
      </c>
      <c r="AI129" s="61">
        <f t="shared" si="63"/>
        <v>0</v>
      </c>
      <c r="AJ129" s="61">
        <f t="shared" si="63"/>
        <v>0</v>
      </c>
      <c r="AK129" s="61">
        <f t="shared" si="63"/>
        <v>0</v>
      </c>
      <c r="AL129" s="61">
        <f t="shared" si="63"/>
        <v>0</v>
      </c>
      <c r="AM129" s="61">
        <f t="shared" si="63"/>
        <v>0</v>
      </c>
      <c r="AN129" s="61">
        <f t="shared" si="63"/>
        <v>0</v>
      </c>
      <c r="AO129" s="61">
        <f t="shared" si="63"/>
        <v>0</v>
      </c>
      <c r="AP129" s="61">
        <f t="shared" si="63"/>
        <v>1</v>
      </c>
      <c r="AQ129" s="61">
        <f t="shared" si="63"/>
        <v>1</v>
      </c>
      <c r="AR129" s="61">
        <f t="shared" si="63"/>
        <v>1</v>
      </c>
      <c r="AS129" s="61">
        <f t="shared" si="63"/>
        <v>1</v>
      </c>
      <c r="AT129" s="89">
        <f t="shared" si="63"/>
        <v>1</v>
      </c>
      <c r="AU129" s="96">
        <f t="shared" si="63"/>
        <v>1</v>
      </c>
      <c r="AV129" s="61">
        <f t="shared" si="63"/>
        <v>1</v>
      </c>
      <c r="AW129" s="61">
        <f t="shared" si="63"/>
        <v>1</v>
      </c>
      <c r="AX129" s="61">
        <f t="shared" si="63"/>
        <v>1</v>
      </c>
      <c r="AY129" s="61">
        <f t="shared" si="63"/>
        <v>1</v>
      </c>
      <c r="BA129" s="116" t="str">
        <f t="shared" ref="BA129:BA132" ca="1" si="64">$A$1</f>
        <v>Depreciation</v>
      </c>
      <c r="BB129" s="1" t="str">
        <f>$A$128</f>
        <v>Depreciation</v>
      </c>
    </row>
    <row r="130" spans="1:58">
      <c r="E130" t="s">
        <v>434</v>
      </c>
      <c r="G130" t="s">
        <v>106</v>
      </c>
      <c r="J130" s="43" t="s">
        <v>10</v>
      </c>
      <c r="Y130" s="61">
        <f t="shared" ref="Y130:AY130" si="65">(Y$4&lt;$I$12)*1</f>
        <v>1</v>
      </c>
      <c r="Z130" s="61">
        <f t="shared" si="65"/>
        <v>1</v>
      </c>
      <c r="AA130" s="61">
        <f t="shared" si="65"/>
        <v>1</v>
      </c>
      <c r="AB130" s="61">
        <f t="shared" si="65"/>
        <v>1</v>
      </c>
      <c r="AC130" s="61">
        <f t="shared" si="65"/>
        <v>1</v>
      </c>
      <c r="AD130" s="61">
        <f t="shared" si="65"/>
        <v>1</v>
      </c>
      <c r="AE130" s="61">
        <f t="shared" si="65"/>
        <v>1</v>
      </c>
      <c r="AF130" s="61">
        <f t="shared" si="65"/>
        <v>1</v>
      </c>
      <c r="AG130" s="61">
        <f t="shared" si="65"/>
        <v>1</v>
      </c>
      <c r="AH130" s="61">
        <f t="shared" si="65"/>
        <v>1</v>
      </c>
      <c r="AI130" s="61">
        <f t="shared" si="65"/>
        <v>1</v>
      </c>
      <c r="AJ130" s="61">
        <f t="shared" si="65"/>
        <v>1</v>
      </c>
      <c r="AK130" s="61">
        <f t="shared" si="65"/>
        <v>1</v>
      </c>
      <c r="AL130" s="61">
        <f t="shared" si="65"/>
        <v>1</v>
      </c>
      <c r="AM130" s="61">
        <f t="shared" si="65"/>
        <v>1</v>
      </c>
      <c r="AN130" s="61">
        <f t="shared" si="65"/>
        <v>1</v>
      </c>
      <c r="AO130" s="61">
        <f t="shared" si="65"/>
        <v>1</v>
      </c>
      <c r="AP130" s="61">
        <f t="shared" si="65"/>
        <v>0</v>
      </c>
      <c r="AQ130" s="61">
        <f t="shared" si="65"/>
        <v>0</v>
      </c>
      <c r="AR130" s="61">
        <f t="shared" si="65"/>
        <v>0</v>
      </c>
      <c r="AS130" s="61">
        <f t="shared" si="65"/>
        <v>0</v>
      </c>
      <c r="AT130" s="89">
        <f t="shared" si="65"/>
        <v>0</v>
      </c>
      <c r="AU130" s="96">
        <f t="shared" si="65"/>
        <v>0</v>
      </c>
      <c r="AV130" s="61">
        <f t="shared" si="65"/>
        <v>0</v>
      </c>
      <c r="AW130" s="61">
        <f t="shared" si="65"/>
        <v>0</v>
      </c>
      <c r="AX130" s="61">
        <f t="shared" si="65"/>
        <v>0</v>
      </c>
      <c r="AY130" s="61">
        <f t="shared" si="65"/>
        <v>0</v>
      </c>
      <c r="BA130" s="116" t="str">
        <f t="shared" ca="1" si="64"/>
        <v>Depreciation</v>
      </c>
      <c r="BB130" s="1" t="str">
        <f>$A$128</f>
        <v>Depreciation</v>
      </c>
    </row>
    <row r="131" spans="1:58">
      <c r="Y131" s="108"/>
      <c r="Z131" s="108"/>
      <c r="AA131" s="108"/>
      <c r="AB131" s="108"/>
      <c r="AC131" s="108"/>
      <c r="AD131" s="108"/>
      <c r="AE131" s="108"/>
      <c r="AF131" s="108"/>
      <c r="AG131" s="108"/>
      <c r="AH131" s="108"/>
      <c r="AI131" s="108"/>
      <c r="AJ131" s="108"/>
      <c r="AK131" s="108"/>
      <c r="AL131" s="108"/>
      <c r="AM131" s="108"/>
      <c r="AN131" s="108"/>
      <c r="AO131" s="108"/>
      <c r="AP131" s="108"/>
      <c r="AQ131" s="108"/>
      <c r="AR131" s="108"/>
      <c r="AS131" s="108"/>
      <c r="AT131" s="192"/>
      <c r="AU131" s="108"/>
      <c r="AV131" s="108"/>
      <c r="AW131" s="108"/>
      <c r="AX131" s="108"/>
      <c r="AY131" s="108"/>
    </row>
    <row r="132" spans="1:58">
      <c r="E132" s="68" t="s">
        <v>430</v>
      </c>
      <c r="G132" t="str">
        <f>price_label</f>
        <v>£m 23/24 prices</v>
      </c>
      <c r="J132" s="43" t="s">
        <v>10</v>
      </c>
      <c r="Y132" s="61">
        <f t="shared" ref="Y132:AY132" si="66">SUM(Y$36:Y$63)*Y$129+SUM(Y$66:Y$93)*Y$130+SUM(Y$99:Y$126)</f>
        <v>10.877939414033101</v>
      </c>
      <c r="Z132" s="61">
        <f t="shared" si="66"/>
        <v>14.380378696158118</v>
      </c>
      <c r="AA132" s="61">
        <f t="shared" si="66"/>
        <v>25.282471473371174</v>
      </c>
      <c r="AB132" s="61">
        <f t="shared" si="66"/>
        <v>44.946053727159033</v>
      </c>
      <c r="AC132" s="61">
        <f t="shared" si="66"/>
        <v>66.233175492719425</v>
      </c>
      <c r="AD132" s="61">
        <f t="shared" si="66"/>
        <v>75.237083174015368</v>
      </c>
      <c r="AE132" s="61">
        <f t="shared" si="66"/>
        <v>79.713900927476487</v>
      </c>
      <c r="AF132" s="61">
        <f t="shared" si="66"/>
        <v>83.347229923035584</v>
      </c>
      <c r="AG132" s="61">
        <f t="shared" si="66"/>
        <v>87.02184335989412</v>
      </c>
      <c r="AH132" s="61">
        <f t="shared" si="66"/>
        <v>85.976641080509339</v>
      </c>
      <c r="AI132" s="61">
        <f t="shared" si="66"/>
        <v>91.801765895123154</v>
      </c>
      <c r="AJ132" s="61">
        <f t="shared" si="66"/>
        <v>96.432318351394088</v>
      </c>
      <c r="AK132" s="61">
        <f t="shared" si="66"/>
        <v>100.81034616036293</v>
      </c>
      <c r="AL132" s="61">
        <f t="shared" si="66"/>
        <v>105.76478601818661</v>
      </c>
      <c r="AM132" s="61">
        <f t="shared" si="66"/>
        <v>112.06565323888894</v>
      </c>
      <c r="AN132" s="61">
        <f t="shared" si="66"/>
        <v>117.741405135973</v>
      </c>
      <c r="AO132" s="61">
        <f t="shared" si="66"/>
        <v>122.53730180275144</v>
      </c>
      <c r="AP132" s="61">
        <f t="shared" si="66"/>
        <v>236.1468960720286</v>
      </c>
      <c r="AQ132" s="61">
        <f t="shared" si="66"/>
        <v>241.31636857477736</v>
      </c>
      <c r="AR132" s="61">
        <f t="shared" si="66"/>
        <v>248.67041287047209</v>
      </c>
      <c r="AS132" s="61">
        <f t="shared" si="66"/>
        <v>257.64275378579293</v>
      </c>
      <c r="AT132" s="89">
        <f t="shared" si="66"/>
        <v>269.66835909813693</v>
      </c>
      <c r="AU132" s="96">
        <f t="shared" si="66"/>
        <v>287.33942902318358</v>
      </c>
      <c r="AV132" s="61">
        <f t="shared" si="66"/>
        <v>306.56077010738363</v>
      </c>
      <c r="AW132" s="61">
        <f t="shared" si="66"/>
        <v>333.62707492785216</v>
      </c>
      <c r="AX132" s="61">
        <f t="shared" si="66"/>
        <v>361.5803257889358</v>
      </c>
      <c r="AY132" s="61">
        <f t="shared" si="66"/>
        <v>377.76461728459606</v>
      </c>
      <c r="BA132" s="116" t="str">
        <f t="shared" ca="1" si="64"/>
        <v>Depreciation</v>
      </c>
      <c r="BB132" s="1" t="str">
        <f>$A$128</f>
        <v>Depreciation</v>
      </c>
    </row>
    <row r="133" spans="1:58">
      <c r="E133" s="68"/>
    </row>
    <row r="134" spans="1:58"/>
    <row r="135" spans="1:58" ht="20" thickBot="1">
      <c r="A135" s="15" t="s">
        <v>241</v>
      </c>
      <c r="BF135" s="43"/>
    </row>
    <row r="136" spans="1:58" ht="15" thickTop="1"/>
    <row r="137" spans="1:58"/>
  </sheetData>
  <conditionalFormatting sqref="H1">
    <cfRule type="cellIs" dxfId="13" priority="1" operator="equal">
      <formula>"ERROR"</formula>
    </cfRule>
  </conditionalFormatting>
  <pageMargins left="0.7" right="0.7" top="0.75" bottom="0.75" header="0.3" footer="0.3"/>
  <pageSetup paperSize="9" orientation="portrait" r:id="rId1"/>
  <headerFooter>
    <oddFooter>&amp;L_x000D_&amp;1#&amp;"Aptos"&amp;10&amp;K000000 National Gas | Business Use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5F8EB-5D4E-4007-A2F0-85FE5ABFB8C1}">
  <sheetPr codeName="Sheet17">
    <tabColor rgb="FFBAA0CC"/>
    <pageSetUpPr autoPageBreaks="0"/>
  </sheetPr>
  <dimension ref="A1:BF46"/>
  <sheetViews>
    <sheetView workbookViewId="0">
      <pane xSplit="10" ySplit="4" topLeftCell="AN5" activePane="bottomRight" state="frozen"/>
      <selection pane="topRight" activeCell="K1" sqref="K1"/>
      <selection pane="bottomLeft" activeCell="A5" sqref="A5"/>
      <selection pane="bottomRight"/>
    </sheetView>
  </sheetViews>
  <sheetFormatPr defaultColWidth="0" defaultRowHeight="14.5" zeroHeight="1" outlineLevelRow="1" outlineLevelCol="1"/>
  <cols>
    <col min="1" max="3" width="1.81640625" customWidth="1"/>
    <col min="4" max="4" width="15.7265625" customWidth="1"/>
    <col min="5" max="5" width="77.26953125" customWidth="1"/>
    <col min="6" max="6" width="8.7265625" customWidth="1"/>
    <col min="7" max="7" width="17.7265625" customWidth="1"/>
    <col min="8" max="8" width="9.7265625" customWidth="1"/>
    <col min="9" max="9" width="11.7265625" customWidth="1"/>
    <col min="10" max="10" width="2.08984375" customWidth="1"/>
    <col min="11" max="45" width="11.7265625" hidden="1" customWidth="1" outlineLevel="1"/>
    <col min="46" max="46" width="11.7265625" style="77" hidden="1" customWidth="1" outlineLevel="1"/>
    <col min="47" max="47" width="11.7265625" customWidth="1" collapsed="1"/>
    <col min="48" max="52" width="11.7265625" customWidth="1"/>
    <col min="53" max="56" width="10.7265625" style="1" customWidth="1"/>
    <col min="57" max="57" width="10.7265625" customWidth="1"/>
    <col min="58" max="58" width="1.7265625" style="43" customWidth="1"/>
    <col min="59" max="16384" width="9.08984375" hidden="1"/>
  </cols>
  <sheetData>
    <row r="1" spans="1:58" s="119" customFormat="1">
      <c r="A1" s="118" t="str" cm="1">
        <f t="array" aca="1" ref="A1" ca="1">MID(CELL("filename",$A$1),FIND("]",CELL("filename",$A$1))+1,255)</f>
        <v>NonCore</v>
      </c>
      <c r="G1" s="119" t="s">
        <v>515</v>
      </c>
      <c r="H1" s="38" t="str">
        <f ca="1">Checks!I7</f>
        <v>ERROR</v>
      </c>
      <c r="AT1" s="124"/>
    </row>
    <row r="2" spans="1:58" s="119" customFormat="1" ht="15" customHeight="1">
      <c r="AT2" s="124"/>
    </row>
    <row r="3" spans="1:58" s="119" customFormat="1" ht="15" customHeight="1">
      <c r="E3" s="119" t="s">
        <v>0</v>
      </c>
      <c r="F3" s="119" t="s">
        <v>1</v>
      </c>
      <c r="G3" s="119" t="s">
        <v>2</v>
      </c>
      <c r="H3" s="119" t="s">
        <v>3</v>
      </c>
      <c r="I3" s="119" t="str">
        <f>NGT_TO!I3</f>
        <v>Constant</v>
      </c>
      <c r="AT3" s="124"/>
      <c r="AU3" s="122" t="str">
        <f>NGT_TO!AU3</f>
        <v>Annual values</v>
      </c>
    </row>
    <row r="4" spans="1:58" s="119" customFormat="1" ht="15" customHeight="1">
      <c r="D4" s="121" t="s">
        <v>421</v>
      </c>
      <c r="E4" s="119" t="s">
        <v>6</v>
      </c>
      <c r="K4" s="122">
        <f>NGT_TO!K4</f>
        <v>33328</v>
      </c>
      <c r="L4" s="122">
        <f>NGT_TO!L4</f>
        <v>33694</v>
      </c>
      <c r="M4" s="122">
        <f>NGT_TO!M4</f>
        <v>34059</v>
      </c>
      <c r="N4" s="122">
        <f>NGT_TO!N4</f>
        <v>34424</v>
      </c>
      <c r="O4" s="122">
        <f>NGT_TO!O4</f>
        <v>34789</v>
      </c>
      <c r="P4" s="122">
        <f>NGT_TO!P4</f>
        <v>35155</v>
      </c>
      <c r="Q4" s="122">
        <f>NGT_TO!Q4</f>
        <v>35520</v>
      </c>
      <c r="R4" s="122">
        <f>NGT_TO!R4</f>
        <v>35885</v>
      </c>
      <c r="S4" s="122">
        <f>NGT_TO!S4</f>
        <v>36250</v>
      </c>
      <c r="T4" s="122">
        <f>NGT_TO!T4</f>
        <v>36616</v>
      </c>
      <c r="U4" s="122">
        <f>NGT_TO!U4</f>
        <v>36981</v>
      </c>
      <c r="V4" s="122">
        <f>NGT_TO!V4</f>
        <v>37346</v>
      </c>
      <c r="W4" s="122">
        <f>NGT_TO!W4</f>
        <v>37711</v>
      </c>
      <c r="X4" s="122">
        <f>NGT_TO!X4</f>
        <v>38077</v>
      </c>
      <c r="Y4" s="122">
        <f>NGT_TO!Y4</f>
        <v>38442</v>
      </c>
      <c r="Z4" s="122">
        <f>NGT_TO!Z4</f>
        <v>38807</v>
      </c>
      <c r="AA4" s="122">
        <f>NGT_TO!AA4</f>
        <v>39172</v>
      </c>
      <c r="AB4" s="122">
        <f>NGT_TO!AB4</f>
        <v>39538</v>
      </c>
      <c r="AC4" s="122">
        <f>NGT_TO!AC4</f>
        <v>39903</v>
      </c>
      <c r="AD4" s="122">
        <f>NGT_TO!AD4</f>
        <v>40268</v>
      </c>
      <c r="AE4" s="122">
        <f>NGT_TO!AE4</f>
        <v>40633</v>
      </c>
      <c r="AF4" s="122">
        <f>NGT_TO!AF4</f>
        <v>40999</v>
      </c>
      <c r="AG4" s="122">
        <f>NGT_TO!AG4</f>
        <v>41364</v>
      </c>
      <c r="AH4" s="122">
        <f>NGT_TO!AH4</f>
        <v>41729</v>
      </c>
      <c r="AI4" s="122">
        <f>NGT_TO!AI4</f>
        <v>42094</v>
      </c>
      <c r="AJ4" s="122">
        <f>NGT_TO!AJ4</f>
        <v>42460</v>
      </c>
      <c r="AK4" s="122">
        <f>NGT_TO!AK4</f>
        <v>42825</v>
      </c>
      <c r="AL4" s="122">
        <f>NGT_TO!AL4</f>
        <v>43190</v>
      </c>
      <c r="AM4" s="122">
        <f>NGT_TO!AM4</f>
        <v>43555</v>
      </c>
      <c r="AN4" s="122">
        <f>NGT_TO!AN4</f>
        <v>43921</v>
      </c>
      <c r="AO4" s="122">
        <f>NGT_TO!AO4</f>
        <v>44286</v>
      </c>
      <c r="AP4" s="122">
        <f>NGT_TO!AP4</f>
        <v>44651</v>
      </c>
      <c r="AQ4" s="122">
        <f>NGT_TO!AQ4</f>
        <v>45016</v>
      </c>
      <c r="AR4" s="122">
        <f>NGT_TO!AR4</f>
        <v>45382</v>
      </c>
      <c r="AS4" s="122">
        <f>NGT_TO!AS4</f>
        <v>45747</v>
      </c>
      <c r="AT4" s="123">
        <f>NGT_TO!AT4</f>
        <v>46112</v>
      </c>
      <c r="AU4" s="122">
        <f>NGT_TO!AU4</f>
        <v>46477</v>
      </c>
      <c r="AV4" s="122">
        <f>NGT_TO!AV4</f>
        <v>46843</v>
      </c>
      <c r="AW4" s="122">
        <f>NGT_TO!AW4</f>
        <v>47208</v>
      </c>
      <c r="AX4" s="122">
        <f>NGT_TO!AX4</f>
        <v>47573</v>
      </c>
      <c r="AY4" s="122">
        <f>NGT_TO!AY4</f>
        <v>47938</v>
      </c>
      <c r="BA4" s="127" t="s">
        <v>527</v>
      </c>
      <c r="BB4" s="127" t="s">
        <v>528</v>
      </c>
      <c r="BC4" s="127" t="s">
        <v>529</v>
      </c>
      <c r="BD4" s="127" t="s">
        <v>530</v>
      </c>
    </row>
    <row r="5" spans="1:58"/>
    <row r="6" spans="1:58" ht="20" thickBot="1">
      <c r="A6" s="15" t="s">
        <v>400</v>
      </c>
    </row>
    <row r="7" spans="1:58" ht="16.5" outlineLevel="1" thickTop="1">
      <c r="D7" s="1" t="str" cm="1">
        <f t="array" aca="1" ref="D7" ca="1">IFERROR(MID(_xlfn.FORMULATEXT(I7),FIND("=",_xlfn.FORMULATEXT(I7))+1,FIND("!",_xlfn.FORMULATEXT(I7))-2),MID(_xlfn.FORMULATEXT(INDEX(L7:AV7,MATCH(FALSE,ISBLANK(L7:AV7),0))),FIND("=",_xlfn.FORMULATEXT(INDEX(L7:AV7,MATCH(FALSE,ISBLANK(L7:AV7),0))))+1,FIND("!",_xlfn.FORMULATEXT(INDEX(L7:AV7,MATCH(FALSE,ISBLANK(L7:AV7),0))))-2))</f>
        <v>Transform_TO</v>
      </c>
      <c r="E7" t="s">
        <v>270</v>
      </c>
      <c r="G7" t="str">
        <f>price_label</f>
        <v>£m 23/24 prices</v>
      </c>
      <c r="J7" t="s">
        <v>10</v>
      </c>
      <c r="Y7" s="69">
        <f>Transform_TO!Y62</f>
        <v>0</v>
      </c>
      <c r="Z7" s="69">
        <f>Transform_TO!Z62</f>
        <v>0</v>
      </c>
      <c r="AA7" s="69">
        <f>Transform_TO!AA62</f>
        <v>0.26244731396357457</v>
      </c>
      <c r="AB7" s="69">
        <f>Transform_TO!AB62</f>
        <v>146.51808442914222</v>
      </c>
      <c r="AC7" s="69">
        <f>Transform_TO!AC62</f>
        <v>0</v>
      </c>
      <c r="AD7" s="69">
        <f>Transform_TO!AD62</f>
        <v>0.67474092198257929</v>
      </c>
      <c r="AE7" s="69">
        <f>Transform_TO!AE62</f>
        <v>0.89126804739312737</v>
      </c>
      <c r="AF7" s="69">
        <f>Transform_TO!AF62</f>
        <v>2.7149740291125735</v>
      </c>
      <c r="AG7" s="69">
        <f>Transform_TO!AG62</f>
        <v>0</v>
      </c>
      <c r="BD7"/>
      <c r="BF7" s="8"/>
    </row>
    <row r="8" spans="1:58" ht="16" outlineLevel="1">
      <c r="D8" s="1" t="str" cm="1">
        <f t="array" aca="1" ref="D8" ca="1">IFERROR(MID(_xlfn.FORMULATEXT(I8),FIND("=",_xlfn.FORMULATEXT(I8))+1,FIND("!",_xlfn.FORMULATEXT(I8))-2),MID(_xlfn.FORMULATEXT(INDEX(L8:AV8,MATCH(FALSE,ISBLANK(L8:AV8),0))),FIND("=",_xlfn.FORMULATEXT(INDEX(L8:AV8,MATCH(FALSE,ISBLANK(L8:AV8),0))))+1,FIND("!",_xlfn.FORMULATEXT(INDEX(L8:AV8,MATCH(FALSE,ISBLANK(L8:AV8),0))))-2))</f>
        <v>Transform_TO</v>
      </c>
      <c r="E8" t="s">
        <v>271</v>
      </c>
      <c r="G8" t="str">
        <f>price_label</f>
        <v>£m 23/24 prices</v>
      </c>
      <c r="J8" t="s">
        <v>10</v>
      </c>
      <c r="Y8" s="69">
        <f>Transform_TO!Y63</f>
        <v>0</v>
      </c>
      <c r="Z8" s="69">
        <f>Transform_TO!Z63</f>
        <v>0</v>
      </c>
      <c r="AA8" s="69">
        <f>Transform_TO!AA63</f>
        <v>0</v>
      </c>
      <c r="AB8" s="69">
        <f>Transform_TO!AB63</f>
        <v>0</v>
      </c>
      <c r="AC8" s="69">
        <f>Transform_TO!AC63</f>
        <v>12.019872898560903</v>
      </c>
      <c r="AD8" s="69">
        <f>Transform_TO!AD63</f>
        <v>19.93476752669843</v>
      </c>
      <c r="AE8" s="69">
        <f>Transform_TO!AE63</f>
        <v>94.539545880371833</v>
      </c>
      <c r="AF8" s="69">
        <f>Transform_TO!AF63</f>
        <v>91.126335374749416</v>
      </c>
      <c r="AG8" s="69">
        <f>Transform_TO!AG63</f>
        <v>0</v>
      </c>
      <c r="BD8"/>
      <c r="BF8" s="8"/>
    </row>
    <row r="9" spans="1:58" ht="16" outlineLevel="1">
      <c r="D9" s="1" t="str" cm="1">
        <f t="array" aca="1" ref="D9" ca="1">IFERROR(MID(_xlfn.FORMULATEXT(I9),FIND("=",_xlfn.FORMULATEXT(I9))+1,FIND("!",_xlfn.FORMULATEXT(I9))-2),MID(_xlfn.FORMULATEXT(INDEX(L9:AV9,MATCH(FALSE,ISBLANK(L9:AV9),0))),FIND("=",_xlfn.FORMULATEXT(INDEX(L9:AV9,MATCH(FALSE,ISBLANK(L9:AV9),0))))+1,FIND("!",_xlfn.FORMULATEXT(INDEX(L9:AV9,MATCH(FALSE,ISBLANK(L9:AV9),0))))-2))</f>
        <v>Transform_TO</v>
      </c>
      <c r="E9" t="s">
        <v>269</v>
      </c>
      <c r="G9" t="str">
        <f>price_label</f>
        <v>£m 23/24 prices</v>
      </c>
      <c r="I9" s="27">
        <f>Transform_TO!I61</f>
        <v>45</v>
      </c>
      <c r="BD9"/>
      <c r="BF9" s="8"/>
    </row>
    <row r="10" spans="1:58" outlineLevel="1">
      <c r="D10" s="1" t="str" cm="1">
        <f t="array" aca="1" ref="D10" ca="1">IFERROR(MID(_xlfn.FORMULATEXT(I10),FIND("=",_xlfn.FORMULATEXT(I10))+1,FIND("!",_xlfn.FORMULATEXT(I10))-2),MID(_xlfn.FORMULATEXT(INDEX(L10:AV10,MATCH(FALSE,ISBLANK(L10:AV10),0))),FIND("=",_xlfn.FORMULATEXT(INDEX(L10:AV10,MATCH(FALSE,ISBLANK(L10:AV10),0))))+1,FIND("!",_xlfn.FORMULATEXT(INDEX(L10:AV10,MATCH(FALSE,ISBLANK(L10:AV10),0))))-2))</f>
        <v>Transform_TO</v>
      </c>
      <c r="E10" t="s">
        <v>493</v>
      </c>
      <c r="G10" t="str">
        <f>price_label</f>
        <v>£m 23/24 prices</v>
      </c>
      <c r="J10" t="s">
        <v>10</v>
      </c>
      <c r="AH10" s="69">
        <f>Transform_TO!AH83</f>
        <v>-435.54612215021189</v>
      </c>
      <c r="AI10" s="69">
        <f>Transform_TO!AI83</f>
        <v>-2.5983815074742029</v>
      </c>
      <c r="AJ10" s="69">
        <f>Transform_TO!AJ83</f>
        <v>-3.1677824938845429</v>
      </c>
      <c r="AK10" s="69">
        <f>Transform_TO!AK83</f>
        <v>-26.283868051755764</v>
      </c>
      <c r="AL10" s="69">
        <f>Transform_TO!AL83</f>
        <v>-512.0697713532461</v>
      </c>
      <c r="AM10" s="69">
        <f>Transform_TO!AM83</f>
        <v>-22.782878099210741</v>
      </c>
      <c r="AN10" s="69">
        <f>Transform_TO!AN83</f>
        <v>-30.214594570706808</v>
      </c>
      <c r="AO10" s="69">
        <f>Transform_TO!AO83</f>
        <v>-1.3255842411061352</v>
      </c>
      <c r="AP10" s="69">
        <f>Transform_TO!AP83</f>
        <v>0</v>
      </c>
      <c r="AQ10" s="69">
        <f>Transform_TO!AQ83</f>
        <v>0</v>
      </c>
      <c r="AR10" s="69">
        <f>Transform_TO!AR83</f>
        <v>0</v>
      </c>
      <c r="AS10" s="69">
        <f>Transform_TO!AS83</f>
        <v>0</v>
      </c>
      <c r="AT10" s="104">
        <f>Transform_TO!AT83</f>
        <v>0</v>
      </c>
    </row>
    <row r="11" spans="1:58" outlineLevel="1">
      <c r="D11" s="1" t="str" cm="1">
        <f t="array" aca="1" ref="D11" ca="1">IFERROR(MID(_xlfn.FORMULATEXT(I11),FIND("=",_xlfn.FORMULATEXT(I11))+1,FIND("!",_xlfn.FORMULATEXT(I11))-2),MID(_xlfn.FORMULATEXT(INDEX(L11:AV11,MATCH(FALSE,ISBLANK(L11:AV11),0))),FIND("=",_xlfn.FORMULATEXT(INDEX(L11:AV11,MATCH(FALSE,ISBLANK(L11:AV11),0))))+1,FIND("!",_xlfn.FORMULATEXT(INDEX(L11:AV11,MATCH(FALSE,ISBLANK(L11:AV11),0))))-2))</f>
        <v>Transform_TO</v>
      </c>
      <c r="E11" t="s">
        <v>494</v>
      </c>
      <c r="G11" t="str">
        <f>price_label</f>
        <v>£m 23/24 prices</v>
      </c>
      <c r="J11" t="s">
        <v>10</v>
      </c>
      <c r="AH11" s="69">
        <f>Transform_TO!AH99</f>
        <v>-44.86702470233584</v>
      </c>
      <c r="AI11" s="69">
        <f>Transform_TO!AI99</f>
        <v>0</v>
      </c>
      <c r="AJ11" s="69">
        <f>Transform_TO!AJ99</f>
        <v>0</v>
      </c>
      <c r="AK11" s="69">
        <f>Transform_TO!AK99</f>
        <v>-2.3195235851216847</v>
      </c>
      <c r="AL11" s="69">
        <f>Transform_TO!AL99</f>
        <v>-86.512186507905085</v>
      </c>
      <c r="AM11" s="69">
        <f>Transform_TO!AM99</f>
        <v>0</v>
      </c>
      <c r="AN11" s="69">
        <f>Transform_TO!AN99</f>
        <v>0</v>
      </c>
      <c r="AO11" s="69">
        <f>Transform_TO!AO99</f>
        <v>0</v>
      </c>
      <c r="AP11" s="69">
        <f>Transform_TO!AP99</f>
        <v>0</v>
      </c>
      <c r="AQ11" s="69">
        <f>Transform_TO!AQ99</f>
        <v>0</v>
      </c>
      <c r="AR11" s="69">
        <f>Transform_TO!AR99</f>
        <v>0</v>
      </c>
      <c r="AS11" s="69">
        <f>Transform_TO!AS99</f>
        <v>0</v>
      </c>
      <c r="AT11" s="104">
        <f>Transform_TO!AT99</f>
        <v>0</v>
      </c>
    </row>
    <row r="12" spans="1:58" ht="16" outlineLevel="1">
      <c r="D12" s="1" t="str" cm="1">
        <f t="array" aca="1" ref="D12" ca="1">IFERROR(MID(_xlfn.FORMULATEXT(I12),FIND("=",_xlfn.FORMULATEXT(I12))+1,FIND("!",_xlfn.FORMULATEXT(I12))-2),MID(_xlfn.FORMULATEXT(INDEX(L12:AV12,MATCH(FALSE,ISBLANK(L12:AV12),0))),FIND("=",_xlfn.FORMULATEXT(INDEX(L12:AV12,MATCH(FALSE,ISBLANK(L12:AV12),0))))+1,FIND("!",_xlfn.FORMULATEXT(INDEX(L12:AV12,MATCH(FALSE,ISBLANK(L12:AV12),0))))-2))</f>
        <v>Transform_TO</v>
      </c>
      <c r="E12" t="s">
        <v>623</v>
      </c>
      <c r="G12" t="s">
        <v>75</v>
      </c>
      <c r="J12" t="s">
        <v>10</v>
      </c>
      <c r="AH12" s="27">
        <f>Transform_TO!AH52</f>
        <v>45</v>
      </c>
      <c r="AI12" s="27">
        <f>Transform_TO!AI52</f>
        <v>45</v>
      </c>
      <c r="AJ12" s="27">
        <f>Transform_TO!AJ52</f>
        <v>45</v>
      </c>
      <c r="AK12" s="27">
        <f>Transform_TO!AK52</f>
        <v>45</v>
      </c>
      <c r="AL12" s="27">
        <f>Transform_TO!AL52</f>
        <v>45</v>
      </c>
      <c r="AM12" s="27">
        <f>Transform_TO!AM52</f>
        <v>45</v>
      </c>
      <c r="AN12" s="27">
        <f>Transform_TO!AN52</f>
        <v>45</v>
      </c>
      <c r="AO12" s="27">
        <f>Transform_TO!AO52</f>
        <v>45</v>
      </c>
      <c r="AP12" s="27">
        <f>Transform_TO!AP52</f>
        <v>45</v>
      </c>
      <c r="AQ12" s="27">
        <f>Transform_TO!AQ52</f>
        <v>45</v>
      </c>
      <c r="AR12" s="27">
        <f>Transform_TO!AR52</f>
        <v>45</v>
      </c>
      <c r="AS12" s="27">
        <f>Transform_TO!AS52</f>
        <v>45</v>
      </c>
      <c r="AT12" s="102">
        <f>Transform_TO!AT52</f>
        <v>45</v>
      </c>
      <c r="AU12" s="140">
        <f>Transform_TO!AU52</f>
        <v>45</v>
      </c>
      <c r="AV12" s="27">
        <f>Transform_TO!AV52</f>
        <v>45</v>
      </c>
      <c r="AW12" s="27">
        <f>Transform_TO!AW52</f>
        <v>45</v>
      </c>
      <c r="AX12" s="27">
        <f>Transform_TO!AX52</f>
        <v>45</v>
      </c>
      <c r="AY12" s="27">
        <f>Transform_TO!AY52</f>
        <v>45</v>
      </c>
      <c r="BD12"/>
      <c r="BF12" s="8"/>
    </row>
    <row r="13" spans="1:58">
      <c r="D13" s="1"/>
    </row>
    <row r="14" spans="1:58" s="1" customFormat="1" ht="20" thickBot="1">
      <c r="A14" s="15" t="s">
        <v>304</v>
      </c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 s="77"/>
      <c r="AU14"/>
      <c r="AV14"/>
      <c r="AW14"/>
      <c r="AX14"/>
      <c r="AY14"/>
      <c r="AZ14"/>
      <c r="BA14" s="44"/>
    </row>
    <row r="15" spans="1:58" s="1" customFormat="1" ht="18" thickTop="1" thickBot="1">
      <c r="A15"/>
      <c r="B15" s="17" t="s">
        <v>151</v>
      </c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 s="77"/>
      <c r="AU15"/>
      <c r="AV15"/>
      <c r="AW15"/>
      <c r="AX15"/>
      <c r="AY15"/>
      <c r="AZ15"/>
      <c r="BA15" s="44"/>
    </row>
    <row r="16" spans="1:58" s="1" customFormat="1" ht="15" thickTop="1">
      <c r="A16"/>
      <c r="B16"/>
      <c r="C16"/>
      <c r="D16"/>
      <c r="E16" t="s">
        <v>152</v>
      </c>
      <c r="F16"/>
      <c r="G16" t="str">
        <f>price_label</f>
        <v>£m 23/24 prices</v>
      </c>
      <c r="H16"/>
      <c r="I16"/>
      <c r="J16" t="s">
        <v>10</v>
      </c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 s="38">
        <f t="shared" ref="Y16:AY16" si="0">X18</f>
        <v>0</v>
      </c>
      <c r="Z16" s="38">
        <f t="shared" si="0"/>
        <v>0</v>
      </c>
      <c r="AA16" s="38">
        <f t="shared" si="0"/>
        <v>0</v>
      </c>
      <c r="AB16" s="38">
        <f t="shared" si="0"/>
        <v>0.26244731396357457</v>
      </c>
      <c r="AC16" s="38">
        <f t="shared" si="0"/>
        <v>146.7805317431058</v>
      </c>
      <c r="AD16" s="38">
        <f t="shared" si="0"/>
        <v>158.80040464166669</v>
      </c>
      <c r="AE16" s="38">
        <f t="shared" si="0"/>
        <v>179.40991309034769</v>
      </c>
      <c r="AF16" s="38">
        <f t="shared" si="0"/>
        <v>274.84072701811266</v>
      </c>
      <c r="AG16" s="38">
        <f t="shared" si="0"/>
        <v>368.68203642197466</v>
      </c>
      <c r="AH16" s="38">
        <f t="shared" si="0"/>
        <v>368.68203642197466</v>
      </c>
      <c r="AI16" s="38">
        <f t="shared" si="0"/>
        <v>368.68203642197466</v>
      </c>
      <c r="AJ16" s="38">
        <f t="shared" si="0"/>
        <v>368.68203642197466</v>
      </c>
      <c r="AK16" s="38">
        <f t="shared" si="0"/>
        <v>368.68203642197466</v>
      </c>
      <c r="AL16" s="38">
        <f t="shared" si="0"/>
        <v>368.68203642197466</v>
      </c>
      <c r="AM16" s="38">
        <f t="shared" si="0"/>
        <v>368.68203642197466</v>
      </c>
      <c r="AN16" s="38">
        <f t="shared" si="0"/>
        <v>368.68203642197466</v>
      </c>
      <c r="AO16" s="38">
        <f t="shared" si="0"/>
        <v>368.68203642197466</v>
      </c>
      <c r="AP16" s="38">
        <f t="shared" si="0"/>
        <v>368.68203642197466</v>
      </c>
      <c r="AQ16" s="38">
        <f t="shared" si="0"/>
        <v>368.68203642197466</v>
      </c>
      <c r="AR16" s="38">
        <f t="shared" si="0"/>
        <v>368.68203642197466</v>
      </c>
      <c r="AS16" s="38">
        <f t="shared" si="0"/>
        <v>368.68203642197466</v>
      </c>
      <c r="AT16" s="94">
        <f t="shared" si="0"/>
        <v>368.68203642197466</v>
      </c>
      <c r="AU16" s="97">
        <f t="shared" si="0"/>
        <v>368.68203642197466</v>
      </c>
      <c r="AV16" s="38">
        <f t="shared" si="0"/>
        <v>368.68203642197466</v>
      </c>
      <c r="AW16" s="38">
        <f t="shared" si="0"/>
        <v>368.68203642197466</v>
      </c>
      <c r="AX16" s="38">
        <f t="shared" si="0"/>
        <v>368.68203642197466</v>
      </c>
      <c r="AY16" s="38">
        <f t="shared" si="0"/>
        <v>368.68203642197466</v>
      </c>
      <c r="AZ16"/>
      <c r="BA16" s="44" t="str">
        <f ca="1">$A$1</f>
        <v>NonCore</v>
      </c>
      <c r="BB16" s="1" t="str">
        <f>$A$14</f>
        <v>Retrospective addition of logged-up and security costs</v>
      </c>
      <c r="BC16" s="1" t="str">
        <f>$B$15</f>
        <v>Cost</v>
      </c>
    </row>
    <row r="17" spans="1:58" s="1" customFormat="1">
      <c r="A17"/>
      <c r="B17"/>
      <c r="C17"/>
      <c r="D17"/>
      <c r="E17" t="s">
        <v>156</v>
      </c>
      <c r="F17"/>
      <c r="G17" t="str">
        <f>price_label</f>
        <v>£m 23/24 prices</v>
      </c>
      <c r="H17"/>
      <c r="I17"/>
      <c r="J17" t="s">
        <v>10</v>
      </c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 s="61">
        <f t="shared" ref="Y17:AY17" si="1">SUM(Y7:Y8)</f>
        <v>0</v>
      </c>
      <c r="Z17" s="61">
        <f t="shared" si="1"/>
        <v>0</v>
      </c>
      <c r="AA17" s="61">
        <f t="shared" si="1"/>
        <v>0.26244731396357457</v>
      </c>
      <c r="AB17" s="61">
        <f t="shared" si="1"/>
        <v>146.51808442914222</v>
      </c>
      <c r="AC17" s="61">
        <f t="shared" si="1"/>
        <v>12.019872898560903</v>
      </c>
      <c r="AD17" s="61">
        <f t="shared" si="1"/>
        <v>20.609508448681009</v>
      </c>
      <c r="AE17" s="61">
        <f t="shared" si="1"/>
        <v>95.430813927764959</v>
      </c>
      <c r="AF17" s="61">
        <f t="shared" si="1"/>
        <v>93.841309403861985</v>
      </c>
      <c r="AG17" s="61">
        <f t="shared" si="1"/>
        <v>0</v>
      </c>
      <c r="AH17" s="61">
        <f t="shared" si="1"/>
        <v>0</v>
      </c>
      <c r="AI17" s="61">
        <f t="shared" si="1"/>
        <v>0</v>
      </c>
      <c r="AJ17" s="61">
        <f t="shared" si="1"/>
        <v>0</v>
      </c>
      <c r="AK17" s="61">
        <f t="shared" si="1"/>
        <v>0</v>
      </c>
      <c r="AL17" s="61">
        <f t="shared" si="1"/>
        <v>0</v>
      </c>
      <c r="AM17" s="61">
        <f t="shared" si="1"/>
        <v>0</v>
      </c>
      <c r="AN17" s="61">
        <f t="shared" si="1"/>
        <v>0</v>
      </c>
      <c r="AO17" s="61">
        <f t="shared" si="1"/>
        <v>0</v>
      </c>
      <c r="AP17" s="61">
        <f t="shared" si="1"/>
        <v>0</v>
      </c>
      <c r="AQ17" s="61">
        <f t="shared" si="1"/>
        <v>0</v>
      </c>
      <c r="AR17" s="61">
        <f t="shared" si="1"/>
        <v>0</v>
      </c>
      <c r="AS17" s="61">
        <f t="shared" si="1"/>
        <v>0</v>
      </c>
      <c r="AT17" s="89">
        <f t="shared" si="1"/>
        <v>0</v>
      </c>
      <c r="AU17" s="96">
        <f t="shared" si="1"/>
        <v>0</v>
      </c>
      <c r="AV17" s="61">
        <f t="shared" si="1"/>
        <v>0</v>
      </c>
      <c r="AW17" s="61">
        <f t="shared" si="1"/>
        <v>0</v>
      </c>
      <c r="AX17" s="61">
        <f t="shared" si="1"/>
        <v>0</v>
      </c>
      <c r="AY17" s="61">
        <f t="shared" si="1"/>
        <v>0</v>
      </c>
      <c r="AZ17"/>
      <c r="BA17" s="44" t="str">
        <f ca="1">$A$1</f>
        <v>NonCore</v>
      </c>
      <c r="BB17" s="1" t="str">
        <f>$A$14</f>
        <v>Retrospective addition of logged-up and security costs</v>
      </c>
      <c r="BC17" s="1" t="str">
        <f>$B$15</f>
        <v>Cost</v>
      </c>
    </row>
    <row r="18" spans="1:58" s="1" customFormat="1">
      <c r="A18"/>
      <c r="B18"/>
      <c r="C18"/>
      <c r="D18"/>
      <c r="E18" t="s">
        <v>180</v>
      </c>
      <c r="F18"/>
      <c r="G18" t="str">
        <f>price_label</f>
        <v>£m 23/24 prices</v>
      </c>
      <c r="H18"/>
      <c r="I18"/>
      <c r="J18" t="s">
        <v>10</v>
      </c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 s="61">
        <f t="shared" ref="Y18:AY18" si="2">SUM(Y16:Y17)</f>
        <v>0</v>
      </c>
      <c r="Z18" s="61">
        <f t="shared" si="2"/>
        <v>0</v>
      </c>
      <c r="AA18" s="61">
        <f t="shared" si="2"/>
        <v>0.26244731396357457</v>
      </c>
      <c r="AB18" s="61">
        <f t="shared" si="2"/>
        <v>146.7805317431058</v>
      </c>
      <c r="AC18" s="61">
        <f t="shared" si="2"/>
        <v>158.80040464166669</v>
      </c>
      <c r="AD18" s="61">
        <f t="shared" si="2"/>
        <v>179.40991309034769</v>
      </c>
      <c r="AE18" s="61">
        <f t="shared" si="2"/>
        <v>274.84072701811266</v>
      </c>
      <c r="AF18" s="61">
        <f t="shared" si="2"/>
        <v>368.68203642197466</v>
      </c>
      <c r="AG18" s="61">
        <f t="shared" si="2"/>
        <v>368.68203642197466</v>
      </c>
      <c r="AH18" s="61">
        <f t="shared" si="2"/>
        <v>368.68203642197466</v>
      </c>
      <c r="AI18" s="61">
        <f t="shared" si="2"/>
        <v>368.68203642197466</v>
      </c>
      <c r="AJ18" s="61">
        <f t="shared" si="2"/>
        <v>368.68203642197466</v>
      </c>
      <c r="AK18" s="61">
        <f t="shared" si="2"/>
        <v>368.68203642197466</v>
      </c>
      <c r="AL18" s="61">
        <f t="shared" si="2"/>
        <v>368.68203642197466</v>
      </c>
      <c r="AM18" s="61">
        <f t="shared" si="2"/>
        <v>368.68203642197466</v>
      </c>
      <c r="AN18" s="61">
        <f t="shared" si="2"/>
        <v>368.68203642197466</v>
      </c>
      <c r="AO18" s="61">
        <f t="shared" si="2"/>
        <v>368.68203642197466</v>
      </c>
      <c r="AP18" s="61">
        <f t="shared" si="2"/>
        <v>368.68203642197466</v>
      </c>
      <c r="AQ18" s="61">
        <f t="shared" si="2"/>
        <v>368.68203642197466</v>
      </c>
      <c r="AR18" s="61">
        <f t="shared" si="2"/>
        <v>368.68203642197466</v>
      </c>
      <c r="AS18" s="61">
        <f t="shared" si="2"/>
        <v>368.68203642197466</v>
      </c>
      <c r="AT18" s="89">
        <f t="shared" si="2"/>
        <v>368.68203642197466</v>
      </c>
      <c r="AU18" s="96">
        <f t="shared" si="2"/>
        <v>368.68203642197466</v>
      </c>
      <c r="AV18" s="61">
        <f t="shared" si="2"/>
        <v>368.68203642197466</v>
      </c>
      <c r="AW18" s="61">
        <f t="shared" si="2"/>
        <v>368.68203642197466</v>
      </c>
      <c r="AX18" s="61">
        <f t="shared" si="2"/>
        <v>368.68203642197466</v>
      </c>
      <c r="AY18" s="61">
        <f t="shared" si="2"/>
        <v>368.68203642197466</v>
      </c>
      <c r="AZ18"/>
      <c r="BA18" s="44" t="str">
        <f ca="1">$A$1</f>
        <v>NonCore</v>
      </c>
      <c r="BB18" s="1" t="str">
        <f>$A$14</f>
        <v>Retrospective addition of logged-up and security costs</v>
      </c>
      <c r="BC18" s="1" t="str">
        <f>$B$15</f>
        <v>Cost</v>
      </c>
    </row>
    <row r="19" spans="1:58" s="1" customForma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 s="77"/>
      <c r="AU19"/>
      <c r="AV19"/>
      <c r="AW19"/>
      <c r="AX19"/>
      <c r="AY19"/>
      <c r="AZ19"/>
      <c r="BA19" s="44"/>
    </row>
    <row r="20" spans="1:58" s="1" customFormat="1" ht="17.5" thickBot="1">
      <c r="A20"/>
      <c r="B20" s="17" t="s">
        <v>306</v>
      </c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 s="77"/>
      <c r="AU20"/>
      <c r="AV20"/>
      <c r="AW20"/>
      <c r="AX20"/>
      <c r="AY20"/>
      <c r="AZ20"/>
      <c r="BA20" s="44"/>
    </row>
    <row r="21" spans="1:58" s="1" customFormat="1" ht="15" thickTop="1">
      <c r="A21"/>
      <c r="B21"/>
      <c r="C21"/>
      <c r="D21"/>
      <c r="E21" t="s">
        <v>152</v>
      </c>
      <c r="F21"/>
      <c r="G21" t="str">
        <f>price_label</f>
        <v>£m 23/24 prices</v>
      </c>
      <c r="H21"/>
      <c r="I21"/>
      <c r="J21" t="s">
        <v>10</v>
      </c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 s="38">
        <f t="shared" ref="Y21:AY21" si="3">X23</f>
        <v>0</v>
      </c>
      <c r="Z21" s="38">
        <f t="shared" si="3"/>
        <v>0</v>
      </c>
      <c r="AA21" s="38">
        <f t="shared" si="3"/>
        <v>0</v>
      </c>
      <c r="AB21" s="38">
        <f t="shared" si="3"/>
        <v>0</v>
      </c>
      <c r="AC21" s="38">
        <f t="shared" si="3"/>
        <v>5.8321625325238793E-3</v>
      </c>
      <c r="AD21" s="38">
        <f t="shared" si="3"/>
        <v>3.2676217568237638</v>
      </c>
      <c r="AE21" s="38">
        <f t="shared" si="3"/>
        <v>6.7965196377496904</v>
      </c>
      <c r="AF21" s="38">
        <f t="shared" si="3"/>
        <v>10.783406595312972</v>
      </c>
      <c r="AG21" s="38">
        <f t="shared" si="3"/>
        <v>16.890978306826586</v>
      </c>
      <c r="AH21" s="38">
        <f t="shared" si="3"/>
        <v>25.083912449537134</v>
      </c>
      <c r="AI21" s="38">
        <f t="shared" si="3"/>
        <v>33.276846592247679</v>
      </c>
      <c r="AJ21" s="38">
        <f t="shared" si="3"/>
        <v>41.469780734958228</v>
      </c>
      <c r="AK21" s="38">
        <f t="shared" si="3"/>
        <v>49.662714877668776</v>
      </c>
      <c r="AL21" s="38">
        <f t="shared" si="3"/>
        <v>57.855649020379325</v>
      </c>
      <c r="AM21" s="38">
        <f t="shared" si="3"/>
        <v>66.048583163089873</v>
      </c>
      <c r="AN21" s="38">
        <f t="shared" si="3"/>
        <v>74.241517305800414</v>
      </c>
      <c r="AO21" s="38">
        <f t="shared" si="3"/>
        <v>82.43445144851097</v>
      </c>
      <c r="AP21" s="38">
        <f t="shared" si="3"/>
        <v>90.627385591221525</v>
      </c>
      <c r="AQ21" s="38">
        <f t="shared" si="3"/>
        <v>98.820319733932081</v>
      </c>
      <c r="AR21" s="38">
        <f t="shared" si="3"/>
        <v>107.01325387664264</v>
      </c>
      <c r="AS21" s="38">
        <f t="shared" si="3"/>
        <v>115.20618801935319</v>
      </c>
      <c r="AT21" s="94">
        <f t="shared" si="3"/>
        <v>123.39912216206375</v>
      </c>
      <c r="AU21" s="97">
        <f t="shared" si="3"/>
        <v>131.5920563047743</v>
      </c>
      <c r="AV21" s="38">
        <f t="shared" si="3"/>
        <v>139.78499044748486</v>
      </c>
      <c r="AW21" s="38">
        <f t="shared" si="3"/>
        <v>147.97792459019541</v>
      </c>
      <c r="AX21" s="38">
        <f t="shared" si="3"/>
        <v>156.17085873290597</v>
      </c>
      <c r="AY21" s="38">
        <f t="shared" si="3"/>
        <v>164.36379287561653</v>
      </c>
      <c r="AZ21"/>
      <c r="BA21" s="44" t="str">
        <f t="shared" ref="BA21:BA23" ca="1" si="4">$A$1</f>
        <v>NonCore</v>
      </c>
      <c r="BB21" s="1" t="str">
        <f>$A$14</f>
        <v>Retrospective addition of logged-up and security costs</v>
      </c>
      <c r="BC21" s="1" t="str">
        <f>$B$20</f>
        <v>Accumulated depreciation</v>
      </c>
    </row>
    <row r="22" spans="1:58" s="1" customFormat="1">
      <c r="A22"/>
      <c r="B22"/>
      <c r="C22"/>
      <c r="D22"/>
      <c r="E22" t="s">
        <v>154</v>
      </c>
      <c r="F22"/>
      <c r="G22" t="str">
        <f>price_label</f>
        <v>£m 23/24 prices</v>
      </c>
      <c r="H22"/>
      <c r="I22"/>
      <c r="J22" t="s">
        <v>10</v>
      </c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 s="61">
        <f t="shared" ref="Y22:AY22" si="5">MIN(Y16/$I$9,X26)</f>
        <v>0</v>
      </c>
      <c r="Z22" s="61">
        <f t="shared" si="5"/>
        <v>0</v>
      </c>
      <c r="AA22" s="61">
        <f t="shared" si="5"/>
        <v>0</v>
      </c>
      <c r="AB22" s="61">
        <f t="shared" si="5"/>
        <v>5.8321625325238793E-3</v>
      </c>
      <c r="AC22" s="61">
        <f t="shared" si="5"/>
        <v>3.26178959429124</v>
      </c>
      <c r="AD22" s="61">
        <f t="shared" si="5"/>
        <v>3.5288978809259266</v>
      </c>
      <c r="AE22" s="61">
        <f t="shared" si="5"/>
        <v>3.9868869575632817</v>
      </c>
      <c r="AF22" s="61">
        <f t="shared" si="5"/>
        <v>6.1075717115136143</v>
      </c>
      <c r="AG22" s="61">
        <f t="shared" si="5"/>
        <v>8.1929341427105484</v>
      </c>
      <c r="AH22" s="61">
        <f t="shared" si="5"/>
        <v>8.1929341427105484</v>
      </c>
      <c r="AI22" s="61">
        <f t="shared" si="5"/>
        <v>8.1929341427105484</v>
      </c>
      <c r="AJ22" s="61">
        <f t="shared" si="5"/>
        <v>8.1929341427105484</v>
      </c>
      <c r="AK22" s="61">
        <f t="shared" si="5"/>
        <v>8.1929341427105484</v>
      </c>
      <c r="AL22" s="61">
        <f t="shared" si="5"/>
        <v>8.1929341427105484</v>
      </c>
      <c r="AM22" s="61">
        <f t="shared" si="5"/>
        <v>8.1929341427105484</v>
      </c>
      <c r="AN22" s="61">
        <f t="shared" si="5"/>
        <v>8.1929341427105484</v>
      </c>
      <c r="AO22" s="61">
        <f t="shared" si="5"/>
        <v>8.1929341427105484</v>
      </c>
      <c r="AP22" s="61">
        <f t="shared" si="5"/>
        <v>8.1929341427105484</v>
      </c>
      <c r="AQ22" s="61">
        <f t="shared" si="5"/>
        <v>8.1929341427105484</v>
      </c>
      <c r="AR22" s="61">
        <f t="shared" si="5"/>
        <v>8.1929341427105484</v>
      </c>
      <c r="AS22" s="61">
        <f t="shared" si="5"/>
        <v>8.1929341427105484</v>
      </c>
      <c r="AT22" s="89">
        <f t="shared" si="5"/>
        <v>8.1929341427105484</v>
      </c>
      <c r="AU22" s="96">
        <f t="shared" si="5"/>
        <v>8.1929341427105484</v>
      </c>
      <c r="AV22" s="61">
        <f t="shared" si="5"/>
        <v>8.1929341427105484</v>
      </c>
      <c r="AW22" s="61">
        <f t="shared" si="5"/>
        <v>8.1929341427105484</v>
      </c>
      <c r="AX22" s="61">
        <f t="shared" si="5"/>
        <v>8.1929341427105484</v>
      </c>
      <c r="AY22" s="61">
        <f t="shared" si="5"/>
        <v>8.1929341427105484</v>
      </c>
      <c r="AZ22"/>
      <c r="BA22" s="44" t="str">
        <f t="shared" ca="1" si="4"/>
        <v>NonCore</v>
      </c>
      <c r="BB22" s="1" t="str">
        <f>$A$14</f>
        <v>Retrospective addition of logged-up and security costs</v>
      </c>
      <c r="BC22" s="1" t="str">
        <f>$B$20</f>
        <v>Accumulated depreciation</v>
      </c>
    </row>
    <row r="23" spans="1:58" s="1" customFormat="1">
      <c r="A23"/>
      <c r="B23"/>
      <c r="C23"/>
      <c r="D23"/>
      <c r="E23" t="s">
        <v>180</v>
      </c>
      <c r="F23"/>
      <c r="G23" t="str">
        <f>price_label</f>
        <v>£m 23/24 prices</v>
      </c>
      <c r="H23"/>
      <c r="I23"/>
      <c r="J23" t="s">
        <v>10</v>
      </c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 s="61">
        <f t="shared" ref="Y23:AY23" si="6">SUM(Y21:Y22)</f>
        <v>0</v>
      </c>
      <c r="Z23" s="61">
        <f t="shared" si="6"/>
        <v>0</v>
      </c>
      <c r="AA23" s="61">
        <f t="shared" si="6"/>
        <v>0</v>
      </c>
      <c r="AB23" s="61">
        <f t="shared" si="6"/>
        <v>5.8321625325238793E-3</v>
      </c>
      <c r="AC23" s="61">
        <f t="shared" si="6"/>
        <v>3.2676217568237638</v>
      </c>
      <c r="AD23" s="61">
        <f t="shared" si="6"/>
        <v>6.7965196377496904</v>
      </c>
      <c r="AE23" s="61">
        <f t="shared" si="6"/>
        <v>10.783406595312972</v>
      </c>
      <c r="AF23" s="61">
        <f t="shared" si="6"/>
        <v>16.890978306826586</v>
      </c>
      <c r="AG23" s="61">
        <f t="shared" si="6"/>
        <v>25.083912449537134</v>
      </c>
      <c r="AH23" s="61">
        <f t="shared" si="6"/>
        <v>33.276846592247679</v>
      </c>
      <c r="AI23" s="61">
        <f t="shared" si="6"/>
        <v>41.469780734958228</v>
      </c>
      <c r="AJ23" s="61">
        <f t="shared" si="6"/>
        <v>49.662714877668776</v>
      </c>
      <c r="AK23" s="61">
        <f t="shared" si="6"/>
        <v>57.855649020379325</v>
      </c>
      <c r="AL23" s="61">
        <f t="shared" si="6"/>
        <v>66.048583163089873</v>
      </c>
      <c r="AM23" s="61">
        <f t="shared" si="6"/>
        <v>74.241517305800414</v>
      </c>
      <c r="AN23" s="61">
        <f t="shared" si="6"/>
        <v>82.43445144851097</v>
      </c>
      <c r="AO23" s="61">
        <f t="shared" si="6"/>
        <v>90.627385591221525</v>
      </c>
      <c r="AP23" s="61">
        <f t="shared" si="6"/>
        <v>98.820319733932081</v>
      </c>
      <c r="AQ23" s="61">
        <f t="shared" si="6"/>
        <v>107.01325387664264</v>
      </c>
      <c r="AR23" s="61">
        <f t="shared" si="6"/>
        <v>115.20618801935319</v>
      </c>
      <c r="AS23" s="61">
        <f t="shared" si="6"/>
        <v>123.39912216206375</v>
      </c>
      <c r="AT23" s="89">
        <f t="shared" si="6"/>
        <v>131.5920563047743</v>
      </c>
      <c r="AU23" s="96">
        <f t="shared" si="6"/>
        <v>139.78499044748486</v>
      </c>
      <c r="AV23" s="61">
        <f t="shared" si="6"/>
        <v>147.97792459019541</v>
      </c>
      <c r="AW23" s="61">
        <f t="shared" si="6"/>
        <v>156.17085873290597</v>
      </c>
      <c r="AX23" s="61">
        <f t="shared" si="6"/>
        <v>164.36379287561653</v>
      </c>
      <c r="AY23" s="61">
        <f t="shared" si="6"/>
        <v>172.55672701832708</v>
      </c>
      <c r="AZ23"/>
      <c r="BA23" s="44" t="str">
        <f t="shared" ca="1" si="4"/>
        <v>NonCore</v>
      </c>
      <c r="BB23" s="1" t="str">
        <f>$A$14</f>
        <v>Retrospective addition of logged-up and security costs</v>
      </c>
      <c r="BC23" s="1" t="str">
        <f>$B$20</f>
        <v>Accumulated depreciation</v>
      </c>
    </row>
    <row r="24" spans="1:58" ht="16">
      <c r="BD24"/>
      <c r="BF24" s="8"/>
    </row>
    <row r="25" spans="1:58" s="1" customFormat="1" ht="17.5" thickBot="1">
      <c r="A25"/>
      <c r="B25" s="17" t="s">
        <v>157</v>
      </c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 s="77"/>
      <c r="AU25"/>
      <c r="AV25"/>
      <c r="AW25"/>
      <c r="AX25"/>
      <c r="AY25"/>
      <c r="AZ25"/>
      <c r="BA25" s="44"/>
    </row>
    <row r="26" spans="1:58" s="1" customFormat="1" ht="15" thickTop="1">
      <c r="A26"/>
      <c r="B26"/>
      <c r="C26"/>
      <c r="D26"/>
      <c r="E26" t="s">
        <v>149</v>
      </c>
      <c r="F26"/>
      <c r="G26" t="str">
        <f>price_label</f>
        <v>£m 23/24 prices</v>
      </c>
      <c r="H26"/>
      <c r="I26"/>
      <c r="J26" t="s">
        <v>10</v>
      </c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 s="61">
        <f t="shared" ref="Y26:AY26" si="7">Y18-Y23</f>
        <v>0</v>
      </c>
      <c r="Z26" s="61">
        <f t="shared" si="7"/>
        <v>0</v>
      </c>
      <c r="AA26" s="61">
        <f t="shared" si="7"/>
        <v>0.26244731396357457</v>
      </c>
      <c r="AB26" s="61">
        <f t="shared" si="7"/>
        <v>146.77469958057327</v>
      </c>
      <c r="AC26" s="61">
        <f t="shared" si="7"/>
        <v>155.53278288484293</v>
      </c>
      <c r="AD26" s="61">
        <f t="shared" si="7"/>
        <v>172.61339345259799</v>
      </c>
      <c r="AE26" s="61">
        <f t="shared" si="7"/>
        <v>264.05732042279971</v>
      </c>
      <c r="AF26" s="61">
        <f t="shared" si="7"/>
        <v>351.79105811514808</v>
      </c>
      <c r="AG26" s="61">
        <f t="shared" si="7"/>
        <v>343.59812397243752</v>
      </c>
      <c r="AH26" s="61">
        <f t="shared" si="7"/>
        <v>335.40518982972696</v>
      </c>
      <c r="AI26" s="61">
        <f t="shared" si="7"/>
        <v>327.21225568701641</v>
      </c>
      <c r="AJ26" s="61">
        <f t="shared" si="7"/>
        <v>319.01932154430585</v>
      </c>
      <c r="AK26" s="61">
        <f t="shared" si="7"/>
        <v>310.82638740159535</v>
      </c>
      <c r="AL26" s="61">
        <f t="shared" si="7"/>
        <v>302.6334532588848</v>
      </c>
      <c r="AM26" s="61">
        <f t="shared" si="7"/>
        <v>294.44051911617424</v>
      </c>
      <c r="AN26" s="61">
        <f t="shared" si="7"/>
        <v>286.24758497346369</v>
      </c>
      <c r="AO26" s="61">
        <f t="shared" si="7"/>
        <v>278.05465083075313</v>
      </c>
      <c r="AP26" s="61">
        <f t="shared" si="7"/>
        <v>269.86171668804258</v>
      </c>
      <c r="AQ26" s="61">
        <f t="shared" si="7"/>
        <v>261.66878254533202</v>
      </c>
      <c r="AR26" s="61">
        <f t="shared" si="7"/>
        <v>253.47584840262147</v>
      </c>
      <c r="AS26" s="61">
        <f t="shared" si="7"/>
        <v>245.28291425991091</v>
      </c>
      <c r="AT26" s="89">
        <f t="shared" si="7"/>
        <v>237.08998011720035</v>
      </c>
      <c r="AU26" s="96">
        <f t="shared" si="7"/>
        <v>228.8970459744898</v>
      </c>
      <c r="AV26" s="61">
        <f t="shared" si="7"/>
        <v>220.70411183177924</v>
      </c>
      <c r="AW26" s="61">
        <f t="shared" si="7"/>
        <v>212.51117768906869</v>
      </c>
      <c r="AX26" s="61">
        <f t="shared" si="7"/>
        <v>204.31824354635813</v>
      </c>
      <c r="AY26" s="61">
        <f t="shared" si="7"/>
        <v>196.12530940364758</v>
      </c>
      <c r="AZ26"/>
      <c r="BA26" s="44" t="str">
        <f ca="1">$A$1</f>
        <v>NonCore</v>
      </c>
      <c r="BB26" s="1" t="str">
        <f>$A$14</f>
        <v>Retrospective addition of logged-up and security costs</v>
      </c>
      <c r="BC26" s="1" t="str">
        <f>$B$25</f>
        <v>Asset balance</v>
      </c>
    </row>
    <row r="27" spans="1:58" s="1" customForma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 s="77"/>
      <c r="AU27"/>
      <c r="AV27"/>
      <c r="AW27"/>
      <c r="AX27"/>
      <c r="AY27"/>
      <c r="AZ27"/>
      <c r="BA27" s="44"/>
    </row>
    <row r="28" spans="1:58" s="1" customFormat="1" ht="20" thickBot="1">
      <c r="A28" s="21" t="s">
        <v>305</v>
      </c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 s="77"/>
      <c r="AU28"/>
      <c r="AV28"/>
      <c r="AW28"/>
      <c r="AX28"/>
      <c r="AY28"/>
      <c r="AZ28"/>
      <c r="BA28" s="44"/>
    </row>
    <row r="29" spans="1:58" s="1" customFormat="1" ht="18" thickTop="1" thickBot="1">
      <c r="A29"/>
      <c r="B29" s="17" t="s">
        <v>151</v>
      </c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 s="77"/>
      <c r="AU29"/>
      <c r="AV29"/>
      <c r="AW29"/>
      <c r="AX29"/>
      <c r="AY29"/>
      <c r="AZ29"/>
      <c r="BA29" s="44"/>
    </row>
    <row r="30" spans="1:58" s="1" customFormat="1" ht="15" thickTop="1">
      <c r="A30"/>
      <c r="B30"/>
      <c r="C30"/>
      <c r="D30"/>
      <c r="E30" t="s">
        <v>152</v>
      </c>
      <c r="F30"/>
      <c r="G30" t="str">
        <f>price_label</f>
        <v>£m 23/24 prices</v>
      </c>
      <c r="H30"/>
      <c r="I30"/>
      <c r="J30" t="s">
        <v>10</v>
      </c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 s="38">
        <f t="shared" ref="AH30:AY30" si="8">AG32</f>
        <v>0</v>
      </c>
      <c r="AI30" s="38">
        <f t="shared" si="8"/>
        <v>435.54612215021189</v>
      </c>
      <c r="AJ30" s="38">
        <f t="shared" si="8"/>
        <v>438.14450365768607</v>
      </c>
      <c r="AK30" s="38">
        <f t="shared" si="8"/>
        <v>441.31228615157062</v>
      </c>
      <c r="AL30" s="38">
        <f t="shared" si="8"/>
        <v>467.59615420332636</v>
      </c>
      <c r="AM30" s="38">
        <f t="shared" si="8"/>
        <v>979.66592555657246</v>
      </c>
      <c r="AN30" s="38">
        <f t="shared" si="8"/>
        <v>1002.4488036557832</v>
      </c>
      <c r="AO30" s="38">
        <f t="shared" si="8"/>
        <v>1032.66339822649</v>
      </c>
      <c r="AP30" s="38">
        <f t="shared" si="8"/>
        <v>1033.9889824675961</v>
      </c>
      <c r="AQ30" s="38">
        <f t="shared" si="8"/>
        <v>1033.9889824675961</v>
      </c>
      <c r="AR30" s="38">
        <f t="shared" si="8"/>
        <v>1033.9889824675961</v>
      </c>
      <c r="AS30" s="38">
        <f t="shared" si="8"/>
        <v>1033.9889824675961</v>
      </c>
      <c r="AT30" s="94">
        <f t="shared" si="8"/>
        <v>1033.9889824675961</v>
      </c>
      <c r="AU30" s="97">
        <f t="shared" si="8"/>
        <v>1033.9889824675961</v>
      </c>
      <c r="AV30" s="38">
        <f t="shared" si="8"/>
        <v>1033.9889824675961</v>
      </c>
      <c r="AW30" s="38">
        <f t="shared" si="8"/>
        <v>1033.9889824675961</v>
      </c>
      <c r="AX30" s="38">
        <f t="shared" si="8"/>
        <v>1033.9889824675961</v>
      </c>
      <c r="AY30" s="38">
        <f t="shared" si="8"/>
        <v>1033.9889824675961</v>
      </c>
      <c r="AZ30"/>
      <c r="BA30" s="44" t="str">
        <f t="shared" ref="BA30:BA32" ca="1" si="9">$A$1</f>
        <v>NonCore</v>
      </c>
      <c r="BB30" s="1" t="str">
        <f>$A$28</f>
        <v>Revenue driver transferred to RAV</v>
      </c>
      <c r="BC30" s="1" t="str">
        <f>$B$29</f>
        <v>Cost</v>
      </c>
    </row>
    <row r="31" spans="1:58" s="1" customFormat="1">
      <c r="A31"/>
      <c r="B31"/>
      <c r="C31"/>
      <c r="D31"/>
      <c r="E31" t="s">
        <v>493</v>
      </c>
      <c r="F31"/>
      <c r="G31" t="str">
        <f>price_label</f>
        <v>£m 23/24 prices</v>
      </c>
      <c r="H31"/>
      <c r="I31"/>
      <c r="J31" t="s">
        <v>10</v>
      </c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 s="38">
        <f t="shared" ref="AH31:AY31" si="10">-AH10</f>
        <v>435.54612215021189</v>
      </c>
      <c r="AI31" s="38">
        <f t="shared" si="10"/>
        <v>2.5983815074742029</v>
      </c>
      <c r="AJ31" s="38">
        <f t="shared" si="10"/>
        <v>3.1677824938845429</v>
      </c>
      <c r="AK31" s="38">
        <f t="shared" si="10"/>
        <v>26.283868051755764</v>
      </c>
      <c r="AL31" s="38">
        <f t="shared" si="10"/>
        <v>512.0697713532461</v>
      </c>
      <c r="AM31" s="38">
        <f t="shared" si="10"/>
        <v>22.782878099210741</v>
      </c>
      <c r="AN31" s="38">
        <f t="shared" si="10"/>
        <v>30.214594570706808</v>
      </c>
      <c r="AO31" s="38">
        <f t="shared" si="10"/>
        <v>1.3255842411061352</v>
      </c>
      <c r="AP31" s="38">
        <f t="shared" si="10"/>
        <v>0</v>
      </c>
      <c r="AQ31" s="38">
        <f t="shared" si="10"/>
        <v>0</v>
      </c>
      <c r="AR31" s="38">
        <f t="shared" si="10"/>
        <v>0</v>
      </c>
      <c r="AS31" s="38">
        <f t="shared" si="10"/>
        <v>0</v>
      </c>
      <c r="AT31" s="94">
        <f t="shared" si="10"/>
        <v>0</v>
      </c>
      <c r="AU31" s="97">
        <f t="shared" si="10"/>
        <v>0</v>
      </c>
      <c r="AV31" s="38">
        <f t="shared" si="10"/>
        <v>0</v>
      </c>
      <c r="AW31" s="38">
        <f t="shared" si="10"/>
        <v>0</v>
      </c>
      <c r="AX31" s="38">
        <f t="shared" si="10"/>
        <v>0</v>
      </c>
      <c r="AY31" s="38">
        <f t="shared" si="10"/>
        <v>0</v>
      </c>
      <c r="AZ31"/>
      <c r="BA31" s="44" t="str">
        <f t="shared" ca="1" si="9"/>
        <v>NonCore</v>
      </c>
      <c r="BB31" s="1" t="str">
        <f>$A$28</f>
        <v>Revenue driver transferred to RAV</v>
      </c>
      <c r="BC31" s="1" t="str">
        <f>$B$29</f>
        <v>Cost</v>
      </c>
    </row>
    <row r="32" spans="1:58" s="1" customFormat="1">
      <c r="A32"/>
      <c r="B32"/>
      <c r="C32"/>
      <c r="D32"/>
      <c r="E32" t="s">
        <v>301</v>
      </c>
      <c r="F32"/>
      <c r="G32" t="str">
        <f>price_label</f>
        <v>£m 23/24 prices</v>
      </c>
      <c r="H32"/>
      <c r="I32"/>
      <c r="J32" t="s">
        <v>10</v>
      </c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 s="61">
        <f t="shared" ref="AH32:AY32" si="11">SUM(AH30:AH31)</f>
        <v>435.54612215021189</v>
      </c>
      <c r="AI32" s="61">
        <f t="shared" si="11"/>
        <v>438.14450365768607</v>
      </c>
      <c r="AJ32" s="61">
        <f t="shared" si="11"/>
        <v>441.31228615157062</v>
      </c>
      <c r="AK32" s="61">
        <f t="shared" si="11"/>
        <v>467.59615420332636</v>
      </c>
      <c r="AL32" s="61">
        <f t="shared" si="11"/>
        <v>979.66592555657246</v>
      </c>
      <c r="AM32" s="61">
        <f t="shared" si="11"/>
        <v>1002.4488036557832</v>
      </c>
      <c r="AN32" s="61">
        <f t="shared" si="11"/>
        <v>1032.66339822649</v>
      </c>
      <c r="AO32" s="61">
        <f t="shared" si="11"/>
        <v>1033.9889824675961</v>
      </c>
      <c r="AP32" s="61">
        <f t="shared" si="11"/>
        <v>1033.9889824675961</v>
      </c>
      <c r="AQ32" s="61">
        <f t="shared" si="11"/>
        <v>1033.9889824675961</v>
      </c>
      <c r="AR32" s="61">
        <f t="shared" si="11"/>
        <v>1033.9889824675961</v>
      </c>
      <c r="AS32" s="61">
        <f t="shared" si="11"/>
        <v>1033.9889824675961</v>
      </c>
      <c r="AT32" s="89">
        <f t="shared" si="11"/>
        <v>1033.9889824675961</v>
      </c>
      <c r="AU32" s="96">
        <f t="shared" si="11"/>
        <v>1033.9889824675961</v>
      </c>
      <c r="AV32" s="61">
        <f t="shared" si="11"/>
        <v>1033.9889824675961</v>
      </c>
      <c r="AW32" s="61">
        <f t="shared" si="11"/>
        <v>1033.9889824675961</v>
      </c>
      <c r="AX32" s="61">
        <f t="shared" si="11"/>
        <v>1033.9889824675961</v>
      </c>
      <c r="AY32" s="61">
        <f t="shared" si="11"/>
        <v>1033.9889824675961</v>
      </c>
      <c r="AZ32"/>
      <c r="BA32" s="44" t="str">
        <f t="shared" ca="1" si="9"/>
        <v>NonCore</v>
      </c>
      <c r="BB32" s="1" t="str">
        <f>$A$28</f>
        <v>Revenue driver transferred to RAV</v>
      </c>
      <c r="BC32" s="1" t="str">
        <f>$B$29</f>
        <v>Cost</v>
      </c>
    </row>
    <row r="33" spans="1:58" s="1" customFormat="1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 s="77"/>
      <c r="AU33"/>
      <c r="AV33"/>
      <c r="AW33"/>
      <c r="AX33"/>
      <c r="AY33"/>
      <c r="AZ33"/>
      <c r="BA33" s="44"/>
    </row>
    <row r="34" spans="1:58" s="1" customFormat="1" ht="17.5" thickBot="1">
      <c r="A34"/>
      <c r="B34" s="17" t="s">
        <v>306</v>
      </c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 s="77"/>
      <c r="AU34"/>
      <c r="AV34"/>
      <c r="AW34"/>
      <c r="AX34"/>
      <c r="AY34"/>
      <c r="AZ34"/>
      <c r="BA34" s="44"/>
    </row>
    <row r="35" spans="1:58" s="1" customFormat="1" ht="15" thickTop="1">
      <c r="A35"/>
      <c r="B35"/>
      <c r="C35"/>
      <c r="D35"/>
      <c r="E35" t="s">
        <v>152</v>
      </c>
      <c r="F35"/>
      <c r="G35" t="str">
        <f>price_label</f>
        <v>£m 23/24 prices</v>
      </c>
      <c r="H35"/>
      <c r="I35"/>
      <c r="J35" t="s">
        <v>10</v>
      </c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 s="38">
        <f t="shared" ref="AH35:AY35" si="12">AG38</f>
        <v>0</v>
      </c>
      <c r="AI35" s="38">
        <f t="shared" si="12"/>
        <v>54.545827416784995</v>
      </c>
      <c r="AJ35" s="38">
        <f t="shared" si="12"/>
        <v>64.282371942511347</v>
      </c>
      <c r="AK35" s="38">
        <f t="shared" si="12"/>
        <v>74.089311634768478</v>
      </c>
      <c r="AL35" s="38">
        <f t="shared" si="12"/>
        <v>86.799860868852974</v>
      </c>
      <c r="AM35" s="38">
        <f t="shared" si="12"/>
        <v>195.08240127801525</v>
      </c>
      <c r="AN35" s="38">
        <f t="shared" si="12"/>
        <v>217.35904135925489</v>
      </c>
      <c r="AO35" s="38">
        <f t="shared" si="12"/>
        <v>240.30711687539912</v>
      </c>
      <c r="AP35" s="38">
        <f t="shared" si="12"/>
        <v>263.2846498191235</v>
      </c>
      <c r="AQ35" s="38">
        <f t="shared" si="12"/>
        <v>286.26218276284789</v>
      </c>
      <c r="AR35" s="38">
        <f t="shared" si="12"/>
        <v>309.23971570657227</v>
      </c>
      <c r="AS35" s="38">
        <f t="shared" si="12"/>
        <v>332.21724865029665</v>
      </c>
      <c r="AT35" s="94">
        <f t="shared" si="12"/>
        <v>355.19478159402104</v>
      </c>
      <c r="AU35" s="97">
        <f t="shared" si="12"/>
        <v>378.17231453774542</v>
      </c>
      <c r="AV35" s="38">
        <f t="shared" si="12"/>
        <v>401.14984748146981</v>
      </c>
      <c r="AW35" s="38">
        <f t="shared" si="12"/>
        <v>424.12738042519419</v>
      </c>
      <c r="AX35" s="38">
        <f t="shared" si="12"/>
        <v>447.10491336891857</v>
      </c>
      <c r="AY35" s="38">
        <f t="shared" si="12"/>
        <v>470.08244631264296</v>
      </c>
      <c r="AZ35"/>
      <c r="BA35" s="44" t="str">
        <f t="shared" ref="BA35:BA38" ca="1" si="13">$A$1</f>
        <v>NonCore</v>
      </c>
      <c r="BB35" s="1" t="str">
        <f>$A$28</f>
        <v>Revenue driver transferred to RAV</v>
      </c>
      <c r="BC35" s="1" t="str">
        <f>$B$34</f>
        <v>Accumulated depreciation</v>
      </c>
    </row>
    <row r="36" spans="1:58" s="1" customFormat="1">
      <c r="A36"/>
      <c r="B36"/>
      <c r="C36"/>
      <c r="D36"/>
      <c r="E36" t="s">
        <v>494</v>
      </c>
      <c r="F36"/>
      <c r="G36" t="str">
        <f>price_label</f>
        <v>£m 23/24 prices</v>
      </c>
      <c r="H36"/>
      <c r="I36"/>
      <c r="J36" t="s">
        <v>10</v>
      </c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 s="38">
        <f t="shared" ref="AH36:AY36" si="14">-AH11</f>
        <v>44.86702470233584</v>
      </c>
      <c r="AI36" s="38">
        <f t="shared" si="14"/>
        <v>0</v>
      </c>
      <c r="AJ36" s="38">
        <f t="shared" si="14"/>
        <v>0</v>
      </c>
      <c r="AK36" s="38">
        <f t="shared" si="14"/>
        <v>2.3195235851216847</v>
      </c>
      <c r="AL36" s="38">
        <f t="shared" si="14"/>
        <v>86.512186507905085</v>
      </c>
      <c r="AM36" s="38">
        <f t="shared" si="14"/>
        <v>0</v>
      </c>
      <c r="AN36" s="38">
        <f t="shared" si="14"/>
        <v>0</v>
      </c>
      <c r="AO36" s="38">
        <f t="shared" si="14"/>
        <v>0</v>
      </c>
      <c r="AP36" s="38">
        <f t="shared" si="14"/>
        <v>0</v>
      </c>
      <c r="AQ36" s="38">
        <f t="shared" si="14"/>
        <v>0</v>
      </c>
      <c r="AR36" s="38">
        <f t="shared" si="14"/>
        <v>0</v>
      </c>
      <c r="AS36" s="38">
        <f t="shared" si="14"/>
        <v>0</v>
      </c>
      <c r="AT36" s="94">
        <f t="shared" si="14"/>
        <v>0</v>
      </c>
      <c r="AU36" s="97">
        <f t="shared" si="14"/>
        <v>0</v>
      </c>
      <c r="AV36" s="38">
        <f t="shared" si="14"/>
        <v>0</v>
      </c>
      <c r="AW36" s="38">
        <f t="shared" si="14"/>
        <v>0</v>
      </c>
      <c r="AX36" s="38">
        <f t="shared" si="14"/>
        <v>0</v>
      </c>
      <c r="AY36" s="38">
        <f t="shared" si="14"/>
        <v>0</v>
      </c>
      <c r="AZ36"/>
      <c r="BA36" s="44" t="str">
        <f t="shared" ca="1" si="13"/>
        <v>NonCore</v>
      </c>
      <c r="BB36" s="1" t="str">
        <f>$A$28</f>
        <v>Revenue driver transferred to RAV</v>
      </c>
      <c r="BC36" s="1" t="str">
        <f>$B$34</f>
        <v>Accumulated depreciation</v>
      </c>
    </row>
    <row r="37" spans="1:58" s="1" customFormat="1">
      <c r="A37"/>
      <c r="B37"/>
      <c r="C37"/>
      <c r="D37"/>
      <c r="E37" t="s">
        <v>154</v>
      </c>
      <c r="F37"/>
      <c r="G37" t="str">
        <f>price_label</f>
        <v>£m 23/24 prices</v>
      </c>
      <c r="H37"/>
      <c r="I37"/>
      <c r="J37" t="s">
        <v>10</v>
      </c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 s="61">
        <f t="shared" ref="AH37:AY37" si="15">IF(StartNonCore,AH32/AH12,MIN(AH32/AH12,AG41))</f>
        <v>9.6788027144491533</v>
      </c>
      <c r="AI37" s="61">
        <f t="shared" si="15"/>
        <v>9.736544525726357</v>
      </c>
      <c r="AJ37" s="61">
        <f t="shared" si="15"/>
        <v>9.8069396922571244</v>
      </c>
      <c r="AK37" s="61">
        <f t="shared" si="15"/>
        <v>10.391025648962808</v>
      </c>
      <c r="AL37" s="61">
        <f t="shared" si="15"/>
        <v>21.770353901257167</v>
      </c>
      <c r="AM37" s="61">
        <f t="shared" si="15"/>
        <v>22.276640081239627</v>
      </c>
      <c r="AN37" s="61">
        <f t="shared" si="15"/>
        <v>22.948075516144222</v>
      </c>
      <c r="AO37" s="61">
        <f t="shared" si="15"/>
        <v>22.977532943724359</v>
      </c>
      <c r="AP37" s="61">
        <f t="shared" si="15"/>
        <v>22.977532943724359</v>
      </c>
      <c r="AQ37" s="61">
        <f t="shared" si="15"/>
        <v>22.977532943724359</v>
      </c>
      <c r="AR37" s="61">
        <f t="shared" si="15"/>
        <v>22.977532943724359</v>
      </c>
      <c r="AS37" s="61">
        <f t="shared" si="15"/>
        <v>22.977532943724359</v>
      </c>
      <c r="AT37" s="89">
        <f t="shared" si="15"/>
        <v>22.977532943724359</v>
      </c>
      <c r="AU37" s="96">
        <f t="shared" si="15"/>
        <v>22.977532943724359</v>
      </c>
      <c r="AV37" s="61">
        <f t="shared" si="15"/>
        <v>22.977532943724359</v>
      </c>
      <c r="AW37" s="61">
        <f t="shared" si="15"/>
        <v>22.977532943724359</v>
      </c>
      <c r="AX37" s="61">
        <f t="shared" si="15"/>
        <v>22.977532943724359</v>
      </c>
      <c r="AY37" s="61">
        <f t="shared" si="15"/>
        <v>22.977532943724359</v>
      </c>
      <c r="AZ37"/>
      <c r="BA37" s="44" t="str">
        <f t="shared" ca="1" si="13"/>
        <v>NonCore</v>
      </c>
      <c r="BB37" s="1" t="str">
        <f>$A$28</f>
        <v>Revenue driver transferred to RAV</v>
      </c>
      <c r="BC37" s="1" t="str">
        <f>$B$34</f>
        <v>Accumulated depreciation</v>
      </c>
    </row>
    <row r="38" spans="1:58" s="1" customFormat="1">
      <c r="A38"/>
      <c r="B38"/>
      <c r="C38"/>
      <c r="D38"/>
      <c r="E38" t="s">
        <v>180</v>
      </c>
      <c r="F38"/>
      <c r="G38" t="str">
        <f>price_label</f>
        <v>£m 23/24 prices</v>
      </c>
      <c r="H38"/>
      <c r="I38"/>
      <c r="J38" t="s">
        <v>10</v>
      </c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 s="61">
        <f t="shared" ref="AH38:AY38" si="16">SUM(AH35:AH37)</f>
        <v>54.545827416784995</v>
      </c>
      <c r="AI38" s="61">
        <f t="shared" si="16"/>
        <v>64.282371942511347</v>
      </c>
      <c r="AJ38" s="61">
        <f t="shared" si="16"/>
        <v>74.089311634768478</v>
      </c>
      <c r="AK38" s="61">
        <f t="shared" si="16"/>
        <v>86.799860868852974</v>
      </c>
      <c r="AL38" s="61">
        <f t="shared" si="16"/>
        <v>195.08240127801525</v>
      </c>
      <c r="AM38" s="61">
        <f t="shared" si="16"/>
        <v>217.35904135925489</v>
      </c>
      <c r="AN38" s="61">
        <f t="shared" si="16"/>
        <v>240.30711687539912</v>
      </c>
      <c r="AO38" s="61">
        <f t="shared" si="16"/>
        <v>263.2846498191235</v>
      </c>
      <c r="AP38" s="61">
        <f t="shared" si="16"/>
        <v>286.26218276284789</v>
      </c>
      <c r="AQ38" s="61">
        <f t="shared" si="16"/>
        <v>309.23971570657227</v>
      </c>
      <c r="AR38" s="61">
        <f t="shared" si="16"/>
        <v>332.21724865029665</v>
      </c>
      <c r="AS38" s="61">
        <f t="shared" si="16"/>
        <v>355.19478159402104</v>
      </c>
      <c r="AT38" s="89">
        <f t="shared" si="16"/>
        <v>378.17231453774542</v>
      </c>
      <c r="AU38" s="96">
        <f t="shared" si="16"/>
        <v>401.14984748146981</v>
      </c>
      <c r="AV38" s="61">
        <f t="shared" si="16"/>
        <v>424.12738042519419</v>
      </c>
      <c r="AW38" s="61">
        <f t="shared" si="16"/>
        <v>447.10491336891857</v>
      </c>
      <c r="AX38" s="61">
        <f t="shared" si="16"/>
        <v>470.08244631264296</v>
      </c>
      <c r="AY38" s="61">
        <f t="shared" si="16"/>
        <v>493.05997925636734</v>
      </c>
      <c r="AZ38"/>
      <c r="BA38" s="44" t="str">
        <f t="shared" ca="1" si="13"/>
        <v>NonCore</v>
      </c>
      <c r="BB38" s="1" t="str">
        <f>$A$28</f>
        <v>Revenue driver transferred to RAV</v>
      </c>
      <c r="BC38" s="1" t="str">
        <f>$B$34</f>
        <v>Accumulated depreciation</v>
      </c>
    </row>
    <row r="39" spans="1:58" ht="16">
      <c r="BD39"/>
      <c r="BF39" s="8"/>
    </row>
    <row r="40" spans="1:58" s="1" customFormat="1" ht="17.5" thickBot="1">
      <c r="A40"/>
      <c r="B40" s="17" t="s">
        <v>157</v>
      </c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 s="77"/>
      <c r="AU40"/>
      <c r="AV40"/>
      <c r="AW40"/>
      <c r="AX40"/>
      <c r="AY40"/>
      <c r="AZ40"/>
      <c r="BA40" s="44"/>
    </row>
    <row r="41" spans="1:58" s="1" customFormat="1" ht="15" thickTop="1">
      <c r="A41"/>
      <c r="B41"/>
      <c r="C41"/>
      <c r="D41"/>
      <c r="E41" t="s">
        <v>149</v>
      </c>
      <c r="F41"/>
      <c r="G41" t="str">
        <f>price_label</f>
        <v>£m 23/24 prices</v>
      </c>
      <c r="H41"/>
      <c r="I41"/>
      <c r="J41" t="s">
        <v>10</v>
      </c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 s="61">
        <f t="shared" ref="AH41:AY41" si="17">AH32-AH38</f>
        <v>381.00029473342687</v>
      </c>
      <c r="AI41" s="61">
        <f t="shared" si="17"/>
        <v>373.86213171517471</v>
      </c>
      <c r="AJ41" s="61">
        <f t="shared" si="17"/>
        <v>367.22297451680214</v>
      </c>
      <c r="AK41" s="61">
        <f t="shared" si="17"/>
        <v>380.79629333447338</v>
      </c>
      <c r="AL41" s="61">
        <f t="shared" si="17"/>
        <v>784.58352427855721</v>
      </c>
      <c r="AM41" s="61">
        <f t="shared" si="17"/>
        <v>785.08976229652831</v>
      </c>
      <c r="AN41" s="61">
        <f t="shared" si="17"/>
        <v>792.35628135109096</v>
      </c>
      <c r="AO41" s="61">
        <f t="shared" si="17"/>
        <v>770.70433264847259</v>
      </c>
      <c r="AP41" s="61">
        <f t="shared" si="17"/>
        <v>747.72679970474815</v>
      </c>
      <c r="AQ41" s="61">
        <f t="shared" si="17"/>
        <v>724.74926676102382</v>
      </c>
      <c r="AR41" s="61">
        <f t="shared" si="17"/>
        <v>701.77173381729949</v>
      </c>
      <c r="AS41" s="61">
        <f t="shared" si="17"/>
        <v>678.79420087357505</v>
      </c>
      <c r="AT41" s="89">
        <f t="shared" si="17"/>
        <v>655.81666792985061</v>
      </c>
      <c r="AU41" s="96">
        <f t="shared" si="17"/>
        <v>632.83913498612628</v>
      </c>
      <c r="AV41" s="61">
        <f t="shared" si="17"/>
        <v>609.86160204240196</v>
      </c>
      <c r="AW41" s="61">
        <f t="shared" si="17"/>
        <v>586.88406909867751</v>
      </c>
      <c r="AX41" s="61">
        <f t="shared" si="17"/>
        <v>563.90653615495307</v>
      </c>
      <c r="AY41" s="61">
        <f t="shared" si="17"/>
        <v>540.92900321122875</v>
      </c>
      <c r="AZ41"/>
      <c r="BA41" s="44" t="str">
        <f ca="1">$A$1</f>
        <v>NonCore</v>
      </c>
      <c r="BB41" s="1" t="str">
        <f>$A$28</f>
        <v>Revenue driver transferred to RAV</v>
      </c>
      <c r="BC41" s="1" t="str">
        <f>$B$40</f>
        <v>Asset balance</v>
      </c>
    </row>
    <row r="42" spans="1:58" s="1" customForma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 s="77"/>
      <c r="AU42"/>
      <c r="AV42"/>
      <c r="AW42"/>
      <c r="AX42"/>
      <c r="AY42"/>
      <c r="AZ42"/>
      <c r="BA42" s="44"/>
    </row>
    <row r="43" spans="1:58">
      <c r="BA43"/>
      <c r="BB43"/>
      <c r="BC43"/>
      <c r="BD43"/>
      <c r="BF43"/>
    </row>
    <row r="44" spans="1:58" ht="20" thickBot="1">
      <c r="A44" s="15" t="s">
        <v>241</v>
      </c>
    </row>
    <row r="45" spans="1:58"/>
    <row r="46" spans="1:58"/>
  </sheetData>
  <conditionalFormatting sqref="H1">
    <cfRule type="cellIs" dxfId="12" priority="1" operator="equal">
      <formula>"ERROR"</formula>
    </cfRule>
  </conditionalFormatting>
  <pageMargins left="0.7" right="0.7" top="0.75" bottom="0.75" header="0.3" footer="0.3"/>
  <pageSetup paperSize="9" orientation="portrait" r:id="rId1"/>
  <headerFooter>
    <oddFooter>&amp;L_x000D_&amp;1#&amp;"Aptos"&amp;10&amp;K000000 National Gas | Business Use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973096ae-7329-4b3b-9368-47aeba6959e1" origin="userSelected">
  <element uid="id_classification_nonbusiness" value=""/>
</sisl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47A25ED69EE0E46B3D9172F80FF5C77" ma:contentTypeVersion="5" ma:contentTypeDescription="Create a new document." ma:contentTypeScope="" ma:versionID="872f932d4754aa67e972bad48913f7bd">
  <xsd:schema xmlns:xsd="http://www.w3.org/2001/XMLSchema" xmlns:xs="http://www.w3.org/2001/XMLSchema" xmlns:p="http://schemas.microsoft.com/office/2006/metadata/properties" xmlns:ns1="http://schemas.microsoft.com/sharepoint/v3" xmlns:ns2="1e616c07-9b77-4556-a919-f3d82b1d96f6" targetNamespace="http://schemas.microsoft.com/office/2006/metadata/properties" ma:root="true" ma:fieldsID="e670b225eab6c722981f710825fb5d79" ns1:_="" ns2:_="">
    <xsd:import namespace="http://schemas.microsoft.com/sharepoint/v3"/>
    <xsd:import namespace="1e616c07-9b77-4556-a919-f3d82b1d96f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616c07-9b77-4556-a919-f3d82b1d96f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A7BC87EE-D5F4-4BE4-A490-F134F7436742}">
  <ds:schemaRefs>
    <ds:schemaRef ds:uri="http://www.w3.org/2001/XMLSchema"/>
    <ds:schemaRef ds:uri="http://www.boldonjames.com/2008/01/sie/internal/label"/>
  </ds:schemaRefs>
</ds:datastoreItem>
</file>

<file path=customXml/itemProps2.xml><?xml version="1.0" encoding="utf-8"?>
<ds:datastoreItem xmlns:ds="http://schemas.openxmlformats.org/officeDocument/2006/customXml" ds:itemID="{8D3FA01A-C3D0-41CC-8993-C1085C72CD1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FF4292F-0F5A-4C75-9E81-71DCFAA0875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1e616c07-9b77-4556-a919-f3d82b1d96f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A05B528-3BED-4E7B-BA89-7D2E601A3391}">
  <ds:schemaRefs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purl.org/dc/dcmitype/"/>
    <ds:schemaRef ds:uri="http://schemas.microsoft.com/sharepoint/v3"/>
    <ds:schemaRef ds:uri="http://schemas.microsoft.com/office/2006/metadata/properties"/>
    <ds:schemaRef ds:uri="http://schemas.microsoft.com/office/infopath/2007/PartnerControls"/>
    <ds:schemaRef ds:uri="1e616c07-9b77-4556-a919-f3d82b1d96f6"/>
    <ds:schemaRef ds:uri="http://purl.org/dc/terms/"/>
  </ds:schemaRefs>
</ds:datastoreItem>
</file>

<file path=docMetadata/LabelInfo.xml><?xml version="1.0" encoding="utf-8"?>
<clbl:labelList xmlns:clbl="http://schemas.microsoft.com/office/2020/mipLabelMetadata">
  <clbl:label id="{0e6ff3ee-a1d4-43ad-9de7-86168a284652}" enabled="1" method="Privileged" siteId="{b5d83618-97ea-48ec-b0be-8d4a7d67832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10</vt:i4>
      </vt:variant>
    </vt:vector>
  </HeadingPairs>
  <TitlesOfParts>
    <vt:vector size="32" baseType="lpstr">
      <vt:lpstr>Cover</vt:lpstr>
      <vt:lpstr>Checks</vt:lpstr>
      <vt:lpstr>VariantAllowances</vt:lpstr>
      <vt:lpstr>Transform_TO</vt:lpstr>
      <vt:lpstr>Transform_SO</vt:lpstr>
      <vt:lpstr>Totex</vt:lpstr>
      <vt:lpstr>TIM</vt:lpstr>
      <vt:lpstr>Depreciation</vt:lpstr>
      <vt:lpstr>NonCore</vt:lpstr>
      <vt:lpstr>Return&amp;RAV</vt:lpstr>
      <vt:lpstr>TaxPools</vt:lpstr>
      <vt:lpstr>Finance</vt:lpstr>
      <vt:lpstr>Tax</vt:lpstr>
      <vt:lpstr>Calculations_SO</vt:lpstr>
      <vt:lpstr>ReturnAdj</vt:lpstr>
      <vt:lpstr>Revenue_TO</vt:lpstr>
      <vt:lpstr>Revenue_SO</vt:lpstr>
      <vt:lpstr>AllowedRevenue_TO</vt:lpstr>
      <vt:lpstr>AllowedRevenue_SO</vt:lpstr>
      <vt:lpstr>Inflation</vt:lpstr>
      <vt:lpstr>NGT_TO</vt:lpstr>
      <vt:lpstr>NGT_SO</vt:lpstr>
      <vt:lpstr>_2026</vt:lpstr>
      <vt:lpstr>BaseYear</vt:lpstr>
      <vt:lpstr>PCf</vt:lpstr>
      <vt:lpstr>PreRIIO</vt:lpstr>
      <vt:lpstr>price_label</vt:lpstr>
      <vt:lpstr>RIIO1</vt:lpstr>
      <vt:lpstr>RIIO2</vt:lpstr>
      <vt:lpstr>RIIO3</vt:lpstr>
      <vt:lpstr>StartingBalance</vt:lpstr>
      <vt:lpstr>StartNonCore</vt:lpstr>
    </vt:vector>
  </TitlesOfParts>
  <Manager/>
  <Company>Ofgem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Catriona Bogle</dc:creator>
  <cp:keywords/>
  <dc:description/>
  <cp:lastModifiedBy>Jenny Strutt</cp:lastModifiedBy>
  <cp:revision/>
  <cp:lastPrinted>2025-09-04T19:28:23Z</cp:lastPrinted>
  <dcterms:created xsi:type="dcterms:W3CDTF">2024-12-04T11:55:37Z</dcterms:created>
  <dcterms:modified xsi:type="dcterms:W3CDTF">2026-05-14T07:48:12Z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5db9f3ce-3b6b-401f-ae09-d42ac03b7e72</vt:lpwstr>
  </property>
  <property fmtid="{D5CDD505-2E9C-101B-9397-08002B2CF9AE}" pid="3" name="bjSaver">
    <vt:lpwstr>eisx7XtYQ36R9CxYW3Z5VPmSFfrGgaKo</vt:lpwstr>
  </property>
  <property fmtid="{D5CDD505-2E9C-101B-9397-08002B2CF9AE}" pid="4" name="bjClsUserRVM">
    <vt:lpwstr>[]</vt:lpwstr>
  </property>
  <property fmtid="{D5CDD505-2E9C-101B-9397-08002B2CF9AE}" pid="5" name="ContentTypeId">
    <vt:lpwstr>0x010100147A25ED69EE0E46B3D9172F80FF5C77</vt:lpwstr>
  </property>
  <property fmtid="{D5CDD505-2E9C-101B-9397-08002B2CF9AE}" pid="6" name="MediaServiceImageTags">
    <vt:lpwstr/>
  </property>
  <property fmtid="{D5CDD505-2E9C-101B-9397-08002B2CF9AE}" pid="7" name="MSIP_Label_7b67b050-2e12-4c1b-9cc6-12fcbcc0bbf7_Enabled">
    <vt:lpwstr>true</vt:lpwstr>
  </property>
  <property fmtid="{D5CDD505-2E9C-101B-9397-08002B2CF9AE}" pid="8" name="MSIP_Label_7b67b050-2e12-4c1b-9cc6-12fcbcc0bbf7_SetDate">
    <vt:lpwstr>2025-09-09T08:11:30Z</vt:lpwstr>
  </property>
  <property fmtid="{D5CDD505-2E9C-101B-9397-08002B2CF9AE}" pid="9" name="MSIP_Label_7b67b050-2e12-4c1b-9cc6-12fcbcc0bbf7_Method">
    <vt:lpwstr>Privileged</vt:lpwstr>
  </property>
  <property fmtid="{D5CDD505-2E9C-101B-9397-08002B2CF9AE}" pid="10" name="MSIP_Label_7b67b050-2e12-4c1b-9cc6-12fcbcc0bbf7_Name">
    <vt:lpwstr>All</vt:lpwstr>
  </property>
  <property fmtid="{D5CDD505-2E9C-101B-9397-08002B2CF9AE}" pid="11" name="MSIP_Label_7b67b050-2e12-4c1b-9cc6-12fcbcc0bbf7_SiteId">
    <vt:lpwstr>185562ad-39bc-4840-8e40-be6216340c52</vt:lpwstr>
  </property>
  <property fmtid="{D5CDD505-2E9C-101B-9397-08002B2CF9AE}" pid="12" name="MSIP_Label_7b67b050-2e12-4c1b-9cc6-12fcbcc0bbf7_ActionId">
    <vt:lpwstr>b91f0dd5-a6d5-4d63-96c8-08c58c02dfdc</vt:lpwstr>
  </property>
  <property fmtid="{D5CDD505-2E9C-101B-9397-08002B2CF9AE}" pid="13" name="MSIP_Label_7b67b050-2e12-4c1b-9cc6-12fcbcc0bbf7_ContentBits">
    <vt:lpwstr>2</vt:lpwstr>
  </property>
  <property fmtid="{D5CDD505-2E9C-101B-9397-08002B2CF9AE}" pid="14" name="MSIP_Label_7b67b050-2e12-4c1b-9cc6-12fcbcc0bbf7_Tag">
    <vt:lpwstr>10, 0, 1, 1</vt:lpwstr>
  </property>
  <property fmtid="{D5CDD505-2E9C-101B-9397-08002B2CF9AE}" pid="15" name="bjDocumentLabelXML">
    <vt:lpwstr>&lt;?xml version="1.0" encoding="us-ascii"?&gt;&lt;sisl xmlns:xsd="http://www.w3.org/2001/XMLSchema" xmlns:xsi="http://www.w3.org/2001/XMLSchema-instance" sislVersion="0" policy="973096ae-7329-4b3b-9368-47aeba6959e1" origin="userSelected" xmlns="http://www.boldonj</vt:lpwstr>
  </property>
  <property fmtid="{D5CDD505-2E9C-101B-9397-08002B2CF9AE}" pid="16" name="bjDocumentLabelXML-0">
    <vt:lpwstr>ames.com/2008/01/sie/internal/label"&gt;&lt;element uid="id_classification_nonbusiness" value="" /&gt;&lt;/sisl&gt;</vt:lpwstr>
  </property>
  <property fmtid="{D5CDD505-2E9C-101B-9397-08002B2CF9AE}" pid="17" name="bjDocumentSecurityLabel">
    <vt:lpwstr>OFFICIAL</vt:lpwstr>
  </property>
  <property fmtid="{D5CDD505-2E9C-101B-9397-08002B2CF9AE}" pid="18" name="Comparison_NGT_TO3RowInsertions5">
    <vt:lpwstr/>
  </property>
  <property fmtid="{D5CDD505-2E9C-101B-9397-08002B2CF9AE}" pid="19" name="Comparison_NGT_TO3ColumnInsertions6">
    <vt:lpwstr/>
  </property>
  <property fmtid="{D5CDD505-2E9C-101B-9397-08002B2CF9AE}" pid="20" name="Comparison_NGT_SO4RowInsertions7">
    <vt:lpwstr/>
  </property>
  <property fmtid="{D5CDD505-2E9C-101B-9397-08002B2CF9AE}" pid="21" name="Comparison_NGT_SO4ColumnInsertions8">
    <vt:lpwstr/>
  </property>
  <property fmtid="{D5CDD505-2E9C-101B-9397-08002B2CF9AE}" pid="22" name="Comparison_VariantAllowances5RowInsertions9">
    <vt:lpwstr/>
  </property>
  <property fmtid="{D5CDD505-2E9C-101B-9397-08002B2CF9AE}" pid="23" name="Comparison_VariantAllowances5ColumnInsertions10">
    <vt:lpwstr/>
  </property>
  <property fmtid="{D5CDD505-2E9C-101B-9397-08002B2CF9AE}" pid="24" name="Comparison_Transform_TO6RowInsertions11">
    <vt:lpwstr/>
  </property>
  <property fmtid="{D5CDD505-2E9C-101B-9397-08002B2CF9AE}" pid="25" name="Comparison_Transform_TO6ColumnInsertions12">
    <vt:lpwstr/>
  </property>
  <property fmtid="{D5CDD505-2E9C-101B-9397-08002B2CF9AE}" pid="26" name="Comparison_Transform_SO7RowInsertions13">
    <vt:lpwstr/>
  </property>
  <property fmtid="{D5CDD505-2E9C-101B-9397-08002B2CF9AE}" pid="27" name="Comparison_Transform_SO7ColumnInsertions14">
    <vt:lpwstr/>
  </property>
  <property fmtid="{D5CDD505-2E9C-101B-9397-08002B2CF9AE}" pid="28" name="Comparison_Totex8RowInsertions15">
    <vt:lpwstr/>
  </property>
  <property fmtid="{D5CDD505-2E9C-101B-9397-08002B2CF9AE}" pid="29" name="Comparison_Totex8ColumnInsertions16">
    <vt:lpwstr/>
  </property>
  <property fmtid="{D5CDD505-2E9C-101B-9397-08002B2CF9AE}" pid="30" name="Comparison_TIM9RowInsertions17">
    <vt:lpwstr/>
  </property>
  <property fmtid="{D5CDD505-2E9C-101B-9397-08002B2CF9AE}" pid="31" name="Comparison_TIM9ColumnInsertions18">
    <vt:lpwstr/>
  </property>
  <property fmtid="{D5CDD505-2E9C-101B-9397-08002B2CF9AE}" pid="32" name="Comparison_Depreciation10RowInsertions19">
    <vt:lpwstr/>
  </property>
  <property fmtid="{D5CDD505-2E9C-101B-9397-08002B2CF9AE}" pid="33" name="Comparison_Depreciation10ColumnInsertions20">
    <vt:lpwstr/>
  </property>
  <property fmtid="{D5CDD505-2E9C-101B-9397-08002B2CF9AE}" pid="34" name="Comparison_NonCore11RowInsertions21">
    <vt:lpwstr/>
  </property>
  <property fmtid="{D5CDD505-2E9C-101B-9397-08002B2CF9AE}" pid="35" name="Comparison_NonCore11ColumnInsertions22">
    <vt:lpwstr/>
  </property>
  <property fmtid="{D5CDD505-2E9C-101B-9397-08002B2CF9AE}" pid="36" name="Comparison_Return&amp;RAV12RowInsertions23">
    <vt:lpwstr/>
  </property>
  <property fmtid="{D5CDD505-2E9C-101B-9397-08002B2CF9AE}" pid="37" name="Comparison_Return&amp;RAV12ColumnInsertions24">
    <vt:lpwstr/>
  </property>
  <property fmtid="{D5CDD505-2E9C-101B-9397-08002B2CF9AE}" pid="38" name="Comparison_TaxPools13RowInsertions25">
    <vt:lpwstr/>
  </property>
  <property fmtid="{D5CDD505-2E9C-101B-9397-08002B2CF9AE}" pid="39" name="Comparison_TaxPools13ColumnInsertions26">
    <vt:lpwstr/>
  </property>
  <property fmtid="{D5CDD505-2E9C-101B-9397-08002B2CF9AE}" pid="40" name="Comparison_Finance14RowInsertions27">
    <vt:lpwstr/>
  </property>
  <property fmtid="{D5CDD505-2E9C-101B-9397-08002B2CF9AE}" pid="41" name="Comparison_Finance14ColumnInsertions28">
    <vt:lpwstr/>
  </property>
  <property fmtid="{D5CDD505-2E9C-101B-9397-08002B2CF9AE}" pid="42" name="Comparison_Tax15RowInsertions29">
    <vt:lpwstr/>
  </property>
  <property fmtid="{D5CDD505-2E9C-101B-9397-08002B2CF9AE}" pid="43" name="Comparison_Tax15ColumnInsertions30">
    <vt:lpwstr/>
  </property>
  <property fmtid="{D5CDD505-2E9C-101B-9397-08002B2CF9AE}" pid="44" name="Comparison_SO_Calculations16RowInsertions31">
    <vt:lpwstr/>
  </property>
  <property fmtid="{D5CDD505-2E9C-101B-9397-08002B2CF9AE}" pid="45" name="Comparison_SO_Calculations16ColumnInsertions32">
    <vt:lpwstr/>
  </property>
  <property fmtid="{D5CDD505-2E9C-101B-9397-08002B2CF9AE}" pid="46" name="Comparison_Revenue_TO17RowInsertions33">
    <vt:lpwstr/>
  </property>
  <property fmtid="{D5CDD505-2E9C-101B-9397-08002B2CF9AE}" pid="47" name="Comparison_Revenue_TO17ColumnInsertions34">
    <vt:lpwstr/>
  </property>
  <property fmtid="{D5CDD505-2E9C-101B-9397-08002B2CF9AE}" pid="48" name="Comparison_Revenue_SO18RowInsertions35">
    <vt:lpwstr/>
  </property>
  <property fmtid="{D5CDD505-2E9C-101B-9397-08002B2CF9AE}" pid="49" name="Comparison_Revenue_SO18ColumnInsertions36">
    <vt:lpwstr/>
  </property>
  <property fmtid="{D5CDD505-2E9C-101B-9397-08002B2CF9AE}" pid="50" name="Comparison_AllowedRevenue_TO19RowInsertions37">
    <vt:lpwstr/>
  </property>
  <property fmtid="{D5CDD505-2E9C-101B-9397-08002B2CF9AE}" pid="51" name="Comparison_AllowedRevenue_TO19ColumnInsertions38">
    <vt:lpwstr/>
  </property>
  <property fmtid="{D5CDD505-2E9C-101B-9397-08002B2CF9AE}" pid="52" name="Comparison_AllowedRevenue_SO20RowInsertions39">
    <vt:lpwstr/>
  </property>
  <property fmtid="{D5CDD505-2E9C-101B-9397-08002B2CF9AE}" pid="53" name="Comparison_AllowedRevenue_SO20ColumnInsertions40">
    <vt:lpwstr/>
  </property>
  <property fmtid="{D5CDD505-2E9C-101B-9397-08002B2CF9AE}" pid="54" name="Comparison_Inflation21RowInsertions41">
    <vt:lpwstr/>
  </property>
  <property fmtid="{D5CDD505-2E9C-101B-9397-08002B2CF9AE}" pid="55" name="Comparison_Inflation21ColumnInsertions42">
    <vt:lpwstr/>
  </property>
  <property fmtid="{D5CDD505-2E9C-101B-9397-08002B2CF9AE}" pid="56" name="xd_ProgID">
    <vt:lpwstr/>
  </property>
  <property fmtid="{D5CDD505-2E9C-101B-9397-08002B2CF9AE}" pid="57" name="ComplianceAssetId">
    <vt:lpwstr/>
  </property>
  <property fmtid="{D5CDD505-2E9C-101B-9397-08002B2CF9AE}" pid="58" name="TemplateUrl">
    <vt:lpwstr/>
  </property>
  <property fmtid="{D5CDD505-2E9C-101B-9397-08002B2CF9AE}" pid="59" name="_ExtendedDescription">
    <vt:lpwstr/>
  </property>
  <property fmtid="{D5CDD505-2E9C-101B-9397-08002B2CF9AE}" pid="60" name="TriggerFlowInfo">
    <vt:lpwstr/>
  </property>
  <property fmtid="{D5CDD505-2E9C-101B-9397-08002B2CF9AE}" pid="61" name="xd_Signature">
    <vt:bool>false</vt:bool>
  </property>
  <property fmtid="{D5CDD505-2E9C-101B-9397-08002B2CF9AE}" pid="62" name="Comparison_Cover1RowInsertions1">
    <vt:lpwstr/>
  </property>
  <property fmtid="{D5CDD505-2E9C-101B-9397-08002B2CF9AE}" pid="63" name="Comparison_Cover1ColumnInsertions2">
    <vt:lpwstr/>
  </property>
  <property fmtid="{D5CDD505-2E9C-101B-9397-08002B2CF9AE}" pid="64" name="Comparison_Checks2RowInsertions3">
    <vt:lpwstr/>
  </property>
  <property fmtid="{D5CDD505-2E9C-101B-9397-08002B2CF9AE}" pid="65" name="Comparison_Checks2ColumnInsertions4">
    <vt:lpwstr/>
  </property>
  <property fmtid="{D5CDD505-2E9C-101B-9397-08002B2CF9AE}" pid="66" name="Comparison_VariantAllowances3RowInsertions5">
    <vt:lpwstr/>
  </property>
  <property fmtid="{D5CDD505-2E9C-101B-9397-08002B2CF9AE}" pid="67" name="Comparison_VariantAllowances3ColumnInsertions6">
    <vt:lpwstr/>
  </property>
  <property fmtid="{D5CDD505-2E9C-101B-9397-08002B2CF9AE}" pid="68" name="Comparison_Transform_TO4RowInsertions7">
    <vt:lpwstr/>
  </property>
  <property fmtid="{D5CDD505-2E9C-101B-9397-08002B2CF9AE}" pid="69" name="Comparison_Transform_TO4ColumnInsertions8">
    <vt:lpwstr/>
  </property>
  <property fmtid="{D5CDD505-2E9C-101B-9397-08002B2CF9AE}" pid="70" name="Comparison_Transform_SO5RowInsertions9">
    <vt:lpwstr/>
  </property>
  <property fmtid="{D5CDD505-2E9C-101B-9397-08002B2CF9AE}" pid="71" name="Comparison_Transform_SO5ColumnInsertions10">
    <vt:lpwstr/>
  </property>
  <property fmtid="{D5CDD505-2E9C-101B-9397-08002B2CF9AE}" pid="72" name="Comparison_Totex6RowInsertions11">
    <vt:lpwstr/>
  </property>
  <property fmtid="{D5CDD505-2E9C-101B-9397-08002B2CF9AE}" pid="73" name="Comparison_Totex6ColumnInsertions12">
    <vt:lpwstr/>
  </property>
  <property fmtid="{D5CDD505-2E9C-101B-9397-08002B2CF9AE}" pid="74" name="Comparison_TIM7RowInsertions13">
    <vt:lpwstr/>
  </property>
  <property fmtid="{D5CDD505-2E9C-101B-9397-08002B2CF9AE}" pid="75" name="Comparison_TIM7ColumnInsertions14">
    <vt:lpwstr/>
  </property>
  <property fmtid="{D5CDD505-2E9C-101B-9397-08002B2CF9AE}" pid="76" name="Comparison_Depreciation8RowInsertions15">
    <vt:lpwstr/>
  </property>
  <property fmtid="{D5CDD505-2E9C-101B-9397-08002B2CF9AE}" pid="77" name="Comparison_Depreciation8ColumnInsertions16">
    <vt:lpwstr/>
  </property>
  <property fmtid="{D5CDD505-2E9C-101B-9397-08002B2CF9AE}" pid="78" name="Comparison_NonCore9RowInsertions17">
    <vt:lpwstr/>
  </property>
  <property fmtid="{D5CDD505-2E9C-101B-9397-08002B2CF9AE}" pid="79" name="Comparison_NonCore9ColumnInsertions18">
    <vt:lpwstr/>
  </property>
  <property fmtid="{D5CDD505-2E9C-101B-9397-08002B2CF9AE}" pid="80" name="Comparison_Return&amp;RAV10RowInsertions19">
    <vt:lpwstr/>
  </property>
  <property fmtid="{D5CDD505-2E9C-101B-9397-08002B2CF9AE}" pid="81" name="Comparison_Return&amp;RAV10ColumnInsertions20">
    <vt:lpwstr/>
  </property>
  <property fmtid="{D5CDD505-2E9C-101B-9397-08002B2CF9AE}" pid="82" name="Comparison_TaxPools11RowInsertions21">
    <vt:lpwstr/>
  </property>
  <property fmtid="{D5CDD505-2E9C-101B-9397-08002B2CF9AE}" pid="83" name="Comparison_TaxPools11ColumnInsertions22">
    <vt:lpwstr/>
  </property>
  <property fmtid="{D5CDD505-2E9C-101B-9397-08002B2CF9AE}" pid="84" name="Comparison_Finance12RowInsertions23">
    <vt:lpwstr/>
  </property>
  <property fmtid="{D5CDD505-2E9C-101B-9397-08002B2CF9AE}" pid="85" name="Comparison_Finance12ColumnInsertions24">
    <vt:lpwstr/>
  </property>
  <property fmtid="{D5CDD505-2E9C-101B-9397-08002B2CF9AE}" pid="86" name="Comparison_Tax13RowInsertions25">
    <vt:lpwstr/>
  </property>
  <property fmtid="{D5CDD505-2E9C-101B-9397-08002B2CF9AE}" pid="87" name="Comparison_Tax13ColumnInsertions26">
    <vt:lpwstr/>
  </property>
  <property fmtid="{D5CDD505-2E9C-101B-9397-08002B2CF9AE}" pid="88" name="Comparison_Calculations_SO14RowInsertions27">
    <vt:lpwstr/>
  </property>
  <property fmtid="{D5CDD505-2E9C-101B-9397-08002B2CF9AE}" pid="89" name="Comparison_Calculations_SO14ColumnInsertions28">
    <vt:lpwstr/>
  </property>
  <property fmtid="{D5CDD505-2E9C-101B-9397-08002B2CF9AE}" pid="90" name="Comparison_ReturnAdj15RowInsertions29">
    <vt:lpwstr/>
  </property>
  <property fmtid="{D5CDD505-2E9C-101B-9397-08002B2CF9AE}" pid="91" name="Comparison_ReturnAdj15ColumnInsertions30">
    <vt:lpwstr/>
  </property>
  <property fmtid="{D5CDD505-2E9C-101B-9397-08002B2CF9AE}" pid="92" name="Comparison_Revenue_TO16RowInsertions31">
    <vt:lpwstr/>
  </property>
  <property fmtid="{D5CDD505-2E9C-101B-9397-08002B2CF9AE}" pid="93" name="Comparison_Revenue_TO16ColumnInsertions32">
    <vt:lpwstr/>
  </property>
  <property fmtid="{D5CDD505-2E9C-101B-9397-08002B2CF9AE}" pid="94" name="Comparison_Revenue_SO17RowInsertions33">
    <vt:lpwstr/>
  </property>
  <property fmtid="{D5CDD505-2E9C-101B-9397-08002B2CF9AE}" pid="95" name="Comparison_Revenue_SO17ColumnInsertions34">
    <vt:lpwstr/>
  </property>
  <property fmtid="{D5CDD505-2E9C-101B-9397-08002B2CF9AE}" pid="96" name="Comparison_AllowedRevenue_TO18RowInsertions35">
    <vt:lpwstr/>
  </property>
  <property fmtid="{D5CDD505-2E9C-101B-9397-08002B2CF9AE}" pid="97" name="Comparison_AllowedRevenue_TO18ColumnInsertions36">
    <vt:lpwstr/>
  </property>
  <property fmtid="{D5CDD505-2E9C-101B-9397-08002B2CF9AE}" pid="98" name="Comparison_AllowedRevenue_SO19RowInsertions37">
    <vt:lpwstr/>
  </property>
  <property fmtid="{D5CDD505-2E9C-101B-9397-08002B2CF9AE}" pid="99" name="Comparison_AllowedRevenue_SO19ColumnInsertions38">
    <vt:lpwstr/>
  </property>
  <property fmtid="{D5CDD505-2E9C-101B-9397-08002B2CF9AE}" pid="100" name="Comparison_Inflation20RowInsertions39">
    <vt:lpwstr/>
  </property>
  <property fmtid="{D5CDD505-2E9C-101B-9397-08002B2CF9AE}" pid="101" name="Comparison_Inflation20ColumnInsertions40">
    <vt:lpwstr/>
  </property>
  <property fmtid="{D5CDD505-2E9C-101B-9397-08002B2CF9AE}" pid="102" name="Comparison_NGT_TO21RowInsertions41">
    <vt:lpwstr/>
  </property>
  <property fmtid="{D5CDD505-2E9C-101B-9397-08002B2CF9AE}" pid="103" name="Comparison_NGT_TO21ColumnInsertions42">
    <vt:lpwstr/>
  </property>
  <property fmtid="{D5CDD505-2E9C-101B-9397-08002B2CF9AE}" pid="104" name="Comparison_NGT_SO22RowInsertions43">
    <vt:lpwstr/>
  </property>
  <property fmtid="{D5CDD505-2E9C-101B-9397-08002B2CF9AE}" pid="105" name="Comparison_NGT_SO22ColumnInsertions44">
    <vt:lpwstr/>
  </property>
</Properties>
</file>